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manbek/Desktop/"/>
    </mc:Choice>
  </mc:AlternateContent>
  <xr:revisionPtr revIDLastSave="0" documentId="13_ncr:1_{17A22679-0E73-E14E-BA06-B2EAF4E27094}" xr6:coauthVersionLast="45" xr6:coauthVersionMax="45" xr10:uidLastSave="{00000000-0000-0000-0000-000000000000}"/>
  <bookViews>
    <workbookView xWindow="0" yWindow="460" windowWidth="27740" windowHeight="14780" xr2:uid="{E169840E-3DE8-D544-9D78-6922B62D939B}"/>
  </bookViews>
  <sheets>
    <sheet name="CostCalculator" sheetId="2" r:id="rId1"/>
    <sheet name="Cost" sheetId="7" state="hidden" r:id="rId2"/>
    <sheet name="TimeseriesEvent" sheetId="1" r:id="rId3"/>
    <sheet name="Conversion Table" sheetId="3" state="hidden"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10" i="1"/>
  <c r="F11" i="1"/>
  <c r="F12" i="1"/>
  <c r="F13" i="1"/>
  <c r="H13" i="1" s="1"/>
  <c r="F14" i="1"/>
  <c r="F15" i="1"/>
  <c r="F16" i="1"/>
  <c r="F17" i="1"/>
  <c r="F18" i="1"/>
  <c r="F19" i="1"/>
  <c r="H19" i="1" s="1"/>
  <c r="F20" i="1"/>
  <c r="H9" i="1"/>
  <c r="H10" i="1"/>
  <c r="H11" i="1"/>
  <c r="H12" i="1"/>
  <c r="H15" i="1"/>
  <c r="H16" i="1"/>
  <c r="H17" i="1"/>
  <c r="H18" i="1"/>
  <c r="H20" i="1"/>
  <c r="H14" i="1" l="1"/>
  <c r="G7" i="2" l="1"/>
  <c r="G9" i="2" s="1"/>
  <c r="G11" i="2" s="1"/>
  <c r="E9" i="3" l="1"/>
  <c r="E6" i="3"/>
  <c r="E5" i="3"/>
  <c r="E4" i="3"/>
  <c r="E3" i="3"/>
  <c r="B8" i="3"/>
  <c r="E8" i="3" s="1"/>
  <c r="B7" i="3"/>
  <c r="E7" i="3" s="1"/>
  <c r="E20" i="1"/>
  <c r="E19" i="1"/>
  <c r="E9" i="1"/>
  <c r="E10" i="1"/>
  <c r="E11" i="1"/>
  <c r="E12" i="1"/>
  <c r="E13" i="1"/>
  <c r="E14" i="1"/>
  <c r="E15" i="1"/>
  <c r="E16" i="1"/>
  <c r="E17" i="1"/>
  <c r="E18" i="1"/>
  <c r="I9" i="1"/>
  <c r="I10" i="1"/>
  <c r="I11" i="1"/>
  <c r="I12" i="1"/>
  <c r="I13" i="1"/>
  <c r="I14" i="1"/>
  <c r="L10" i="1"/>
  <c r="L11" i="1"/>
  <c r="I20" i="1"/>
  <c r="I19" i="1" l="1"/>
  <c r="I17" i="1"/>
  <c r="I16" i="1"/>
  <c r="L9" i="1"/>
  <c r="I18" i="1"/>
  <c r="I15" i="1"/>
  <c r="L12" i="1" l="1"/>
  <c r="B38" i="2" l="1"/>
  <c r="B39" i="2" s="1"/>
  <c r="G30" i="2"/>
  <c r="G31" i="2" s="1"/>
  <c r="B17" i="2"/>
  <c r="B30" i="2"/>
  <c r="B31" i="2" s="1"/>
  <c r="G17" i="2"/>
  <c r="L10" i="2" s="1"/>
  <c r="N10" i="2" s="1"/>
  <c r="L8" i="2"/>
  <c r="N8" i="2" s="1"/>
  <c r="L9" i="2" l="1"/>
  <c r="N9" i="2" s="1"/>
  <c r="L11" i="2"/>
  <c r="N11" i="2" l="1"/>
  <c r="N12" i="2" s="1"/>
</calcChain>
</file>

<file path=xl/sharedStrings.xml><?xml version="1.0" encoding="utf-8"?>
<sst xmlns="http://schemas.openxmlformats.org/spreadsheetml/2006/main" count="218" uniqueCount="117">
  <si>
    <t>Data type</t>
  </si>
  <si>
    <t>Name</t>
  </si>
  <si>
    <t>Value</t>
  </si>
  <si>
    <t>dimension</t>
  </si>
  <si>
    <t>string</t>
  </si>
  <si>
    <t>region</t>
  </si>
  <si>
    <t>us-east-1</t>
  </si>
  <si>
    <t>yes</t>
  </si>
  <si>
    <t>measure</t>
  </si>
  <si>
    <t>az</t>
  </si>
  <si>
    <t>us-east-1a</t>
  </si>
  <si>
    <t>instance_name</t>
  </si>
  <si>
    <t>myhost1</t>
  </si>
  <si>
    <t>instance_type</t>
  </si>
  <si>
    <t>r5.4xlarge</t>
  </si>
  <si>
    <t>image_id</t>
  </si>
  <si>
    <t>kernel_id</t>
  </si>
  <si>
    <t>bigint</t>
  </si>
  <si>
    <t>network_bytes_in</t>
  </si>
  <si>
    <t>no</t>
  </si>
  <si>
    <t>network_bytes_out</t>
  </si>
  <si>
    <t>double</t>
  </si>
  <si>
    <t>cpu_util_pct</t>
  </si>
  <si>
    <t>mem_util_pct</t>
  </si>
  <si>
    <t>Write size</t>
  </si>
  <si>
    <t>Write size excluding common attributes</t>
  </si>
  <si>
    <t>Common attributes size</t>
  </si>
  <si>
    <t>Storage size</t>
  </si>
  <si>
    <t>bytes</t>
  </si>
  <si>
    <t>Type</t>
  </si>
  <si>
    <t>Unit</t>
  </si>
  <si>
    <t>NameLen</t>
  </si>
  <si>
    <t>Attribute</t>
  </si>
  <si>
    <t>IsCommon</t>
  </si>
  <si>
    <t>WriteBytes</t>
  </si>
  <si>
    <t>RecordStorageBytes</t>
  </si>
  <si>
    <t>EVENT DESCRIPTION</t>
  </si>
  <si>
    <t>EVENT SIZE IN BYTES</t>
  </si>
  <si>
    <t>TIME SERIES EVENT SIZE CALCULATOR</t>
  </si>
  <si>
    <t># Time series events</t>
  </si>
  <si>
    <t>WRITES</t>
  </si>
  <si>
    <t xml:space="preserve">Use the table below to describe a typical time series event being sent to Amazon Timestream. The time series event must have one or more dimensions and measures. </t>
  </si>
  <si>
    <t>status</t>
  </si>
  <si>
    <t>RUNNING</t>
  </si>
  <si>
    <t>boolean</t>
  </si>
  <si>
    <t>dev_environment</t>
  </si>
  <si>
    <t>Retention period</t>
  </si>
  <si>
    <t>MEMORY STORE</t>
  </si>
  <si>
    <t>MAGNETIC STORE</t>
  </si>
  <si>
    <t>QUERIES</t>
  </si>
  <si>
    <t>STORAGE</t>
  </si>
  <si>
    <t>ALERTING QUERIES</t>
  </si>
  <si>
    <t>DASHBOARDING QUERIES</t>
  </si>
  <si>
    <t>ANALYTICAL QUERIES</t>
  </si>
  <si>
    <t>Writes</t>
  </si>
  <si>
    <t>Memory Storage</t>
  </si>
  <si>
    <t>Magnetic Storage</t>
  </si>
  <si>
    <t># Queries</t>
  </si>
  <si>
    <t>Conversion factor</t>
  </si>
  <si>
    <t>per second</t>
  </si>
  <si>
    <t>per minute</t>
  </si>
  <si>
    <t>per hour</t>
  </si>
  <si>
    <t>per day</t>
  </si>
  <si>
    <t>per month</t>
  </si>
  <si>
    <t>per week</t>
  </si>
  <si>
    <t>second</t>
  </si>
  <si>
    <t>minute</t>
  </si>
  <si>
    <t>hour</t>
  </si>
  <si>
    <t>day</t>
  </si>
  <si>
    <t>month</t>
  </si>
  <si>
    <t>week</t>
  </si>
  <si>
    <t>year</t>
  </si>
  <si>
    <t>Queries</t>
  </si>
  <si>
    <t>Time range</t>
  </si>
  <si>
    <t>% data scanned</t>
  </si>
  <si>
    <t>Data scanned per query</t>
  </si>
  <si>
    <t>Data scanned per day</t>
  </si>
  <si>
    <t>Use common attributes</t>
  </si>
  <si>
    <t>GB</t>
  </si>
  <si>
    <t>Operation</t>
  </si>
  <si>
    <t>Usage</t>
  </si>
  <si>
    <t>Cost</t>
  </si>
  <si>
    <t>GB-month</t>
  </si>
  <si>
    <t>MM writes</t>
  </si>
  <si>
    <t>GB-hour</t>
  </si>
  <si>
    <t xml:space="preserve">Total </t>
  </si>
  <si>
    <t>Estimate your monthly spend on Amazon Timestream when a typical time series event being written into Amazon Timestream  is described in "TimeseriesEvent".</t>
  </si>
  <si>
    <t>Amazon Timestream's query engine  prunes irrelevant data while processing a query. Queries with projections and predicates including time ranges, measures, and/or dimensions enable the query processing engine to prune a significant amount of data and help with lowering query costs. % data scanned contains an estimate of the amount of data that is actually processed by the query (post data pruning).</t>
  </si>
  <si>
    <t xml:space="preserve">You can add more rows to the bottom of the table to add dimensions and measures. The timestamp will be added automatically. </t>
  </si>
  <si>
    <t>This calculator provides an estimate of charges for AWS services based on certain information you provide. Monthly charges will be based on your actual usage of AWS and may vary from the estimates the Calculator has provided. Prices effective as of Oct 1, 2020.</t>
  </si>
  <si>
    <t xml:space="preserve"> 3. Choose whether you want to batch events. Batching events helps optimizes the cost of writes. </t>
  </si>
  <si>
    <t>6. Enter the number of queries you plan to run on Amazon Timestream, the frequency at which you plan the queries, and the time range of the data being processed by the queries.</t>
  </si>
  <si>
    <t xml:space="preserve">2. Enter the number of time series events you plan to write into Amazon Timestream and the granularity at which you plan to write the data.		</t>
  </si>
  <si>
    <t>1. Define a typical time series event/data point using the sheet TimeseriesEvent.</t>
  </si>
  <si>
    <t>4. With batching, you also select the batch size. You can also choose to send the common attributes just once per batch to further optimize the cost of writes.</t>
  </si>
  <si>
    <t xml:space="preserve">5. Enter the data retention period for the memory store and the magnetic store. </t>
  </si>
  <si>
    <t>Alerting queries process the most recent data. Dashboarding queries process data over a time range that varies from a few minutes to a few hours. Analytic queries process large volumes of data with time ranges varing from days to a few years.</t>
  </si>
  <si>
    <t>Region</t>
  </si>
  <si>
    <t>Price</t>
  </si>
  <si>
    <t>US East (N. Virginia)</t>
  </si>
  <si>
    <t>US East (Ohio)</t>
  </si>
  <si>
    <t>US West (Oregon)</t>
  </si>
  <si>
    <t>Europe (Ireland)</t>
  </si>
  <si>
    <r>
      <t xml:space="preserve">AMAZON TIMESTREAM PRICING CALCULATOR </t>
    </r>
    <r>
      <rPr>
        <sz val="14"/>
        <color theme="1"/>
        <rFont val="Calibri (Body)"/>
      </rPr>
      <t>- Prices as of Oct 1, 2020</t>
    </r>
  </si>
  <si>
    <t xml:space="preserve">1. Describe a typical time series event by adding rows to the table. Each row is either a dimension or measure. </t>
  </si>
  <si>
    <t xml:space="preserve">2. When creating a dimension or measure, enter the data type, name, value, and if it is a common attribute.	</t>
  </si>
  <si>
    <t>3. Common attributes are the dimensions and measure names that are common across multiple events written to Amazon Timestream as a batch.</t>
  </si>
  <si>
    <t>ESTIMATED MONTHLY PRICE (USD)</t>
  </si>
  <si>
    <t>ValueLen</t>
  </si>
  <si>
    <t>4. The columns NameLen, ValueLen, WriteBytes, and RecordStorageBytes are automatically calculated.</t>
  </si>
  <si>
    <t>Metered usage</t>
  </si>
  <si>
    <t>990000AAQ</t>
  </si>
  <si>
    <t>events</t>
  </si>
  <si>
    <t># events per day</t>
  </si>
  <si>
    <t># writes per day</t>
  </si>
  <si>
    <t># 1KB writes per day</t>
  </si>
  <si>
    <t>Batch size (for each write)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</si>
</sst>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quot;$&quot;* #,##0.000_);_(&quot;$&quot;* \(#,##0.000\);_(&quot;$&quot;* &quot;-&quot;??_);_(@_)"/>
  </numFmts>
  <fonts count="10" x14ac:knownFonts="1">
    <font>
      <sz val="12"/>
      <color theme="1"/>
      <name val="Calibri"/>
      <family val="2"/>
      <scheme val="minor"/>
    </font>
    <font>
      <sz val="12"/>
      <color theme="1"/>
      <name val="Calibri"/>
      <family val="2"/>
      <scheme val="minor"/>
    </font>
    <font>
      <b/>
      <sz val="16"/>
      <color theme="1"/>
      <name val="Calibri"/>
      <family val="2"/>
      <scheme val="minor"/>
    </font>
    <font>
      <sz val="14"/>
      <color theme="1"/>
      <name val="Calibri"/>
      <family val="2"/>
      <scheme val="minor"/>
    </font>
    <font>
      <i/>
      <sz val="14"/>
      <color theme="1"/>
      <name val="Calibri"/>
      <family val="2"/>
      <scheme val="minor"/>
    </font>
    <font>
      <b/>
      <sz val="14"/>
      <color theme="1"/>
      <name val="Calibri"/>
      <family val="2"/>
      <scheme val="minor"/>
    </font>
    <font>
      <i/>
      <sz val="14"/>
      <color theme="0" tint="-0.34998626667073579"/>
      <name val="Calibri"/>
      <family val="2"/>
      <scheme val="minor"/>
    </font>
    <font>
      <sz val="14"/>
      <color theme="1"/>
      <name val="Calibri (Body)"/>
    </font>
    <font>
      <i/>
      <sz val="14"/>
      <color theme="1"/>
      <name val="Calibri (Body)"/>
    </font>
    <font>
      <sz val="12"/>
      <color rgb="FF000000"/>
      <name val="Calibri"/>
      <family val="2"/>
      <scheme val="minor"/>
    </font>
  </fonts>
  <fills count="8">
    <fill>
      <patternFill patternType="none"/>
    </fill>
    <fill>
      <patternFill patternType="gray125"/>
    </fill>
    <fill>
      <patternFill patternType="solid">
        <fgColor theme="4" tint="0.79998168889431442"/>
        <bgColor theme="4" tint="0.79998168889431442"/>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0.249977111117893"/>
        <bgColor theme="4"/>
      </patternFill>
    </fill>
    <fill>
      <patternFill patternType="solid">
        <fgColor theme="0" tint="-0.14999847407452621"/>
        <bgColor indexed="64"/>
      </patternFill>
    </fill>
  </fills>
  <borders count="13">
    <border>
      <left/>
      <right/>
      <top/>
      <bottom/>
      <diagonal/>
    </border>
    <border>
      <left/>
      <right/>
      <top style="thin">
        <color theme="4" tint="0.39997558519241921"/>
      </top>
      <bottom style="thin">
        <color theme="4" tint="0.399975585192419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4" tint="0.39997558519241921"/>
      </top>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right/>
      <top/>
      <bottom style="thin">
        <color theme="4" tint="0.3999755851924192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75">
    <xf numFmtId="0" fontId="0" fillId="0" borderId="0" xfId="0"/>
    <xf numFmtId="0" fontId="0" fillId="2" borderId="1" xfId="0" applyFont="1" applyFill="1" applyBorder="1"/>
    <xf numFmtId="0" fontId="0" fillId="0" borderId="0" xfId="0" applyProtection="1">
      <protection locked="0"/>
    </xf>
    <xf numFmtId="0" fontId="0" fillId="0" borderId="1" xfId="0" applyFont="1" applyBorder="1"/>
    <xf numFmtId="0" fontId="0" fillId="0" borderId="0" xfId="0" applyProtection="1"/>
    <xf numFmtId="0" fontId="3" fillId="0" borderId="0" xfId="0" applyFont="1"/>
    <xf numFmtId="0" fontId="4" fillId="0" borderId="0" xfId="0" applyFont="1" applyAlignment="1" applyProtection="1">
      <alignment horizontal="left"/>
    </xf>
    <xf numFmtId="0" fontId="3" fillId="0" borderId="0" xfId="0" applyFont="1" applyProtection="1">
      <protection locked="0"/>
    </xf>
    <xf numFmtId="0" fontId="3" fillId="0" borderId="0" xfId="0" applyFont="1" applyProtection="1"/>
    <xf numFmtId="0" fontId="3" fillId="0" borderId="0" xfId="0" applyFont="1" applyAlignment="1" applyProtection="1">
      <alignment horizontal="right"/>
      <protection locked="0"/>
    </xf>
    <xf numFmtId="0" fontId="3" fillId="0" borderId="0" xfId="0" applyNumberFormat="1" applyFont="1"/>
    <xf numFmtId="0" fontId="3" fillId="0" borderId="0" xfId="0" applyNumberFormat="1" applyFont="1" applyProtection="1"/>
    <xf numFmtId="0" fontId="5" fillId="0" borderId="0" xfId="0" applyFont="1"/>
    <xf numFmtId="0" fontId="3" fillId="0" borderId="0" xfId="0" applyFont="1" applyBorder="1" applyProtection="1">
      <protection locked="0"/>
    </xf>
    <xf numFmtId="164" fontId="3" fillId="0" borderId="0" xfId="0" applyNumberFormat="1" applyFont="1"/>
    <xf numFmtId="0" fontId="6" fillId="0" borderId="0" xfId="0" applyFont="1"/>
    <xf numFmtId="164" fontId="6" fillId="0" borderId="0" xfId="1" applyNumberFormat="1" applyFont="1"/>
    <xf numFmtId="43" fontId="6" fillId="0" borderId="0" xfId="0" applyNumberFormat="1" applyFont="1"/>
    <xf numFmtId="0" fontId="3" fillId="0" borderId="0" xfId="0" applyFont="1" applyAlignment="1">
      <alignment horizontal="left"/>
    </xf>
    <xf numFmtId="9" fontId="6" fillId="0" borderId="0" xfId="0" applyNumberFormat="1" applyFont="1"/>
    <xf numFmtId="44" fontId="3" fillId="0" borderId="0" xfId="2" applyFont="1"/>
    <xf numFmtId="0" fontId="5" fillId="4" borderId="0" xfId="0" applyFont="1" applyFill="1"/>
    <xf numFmtId="44" fontId="5" fillId="4" borderId="0" xfId="0" applyNumberFormat="1" applyFont="1" applyFill="1"/>
    <xf numFmtId="0" fontId="3" fillId="0" borderId="0" xfId="0" applyFont="1" applyBorder="1" applyAlignment="1" applyProtection="1">
      <alignment horizontal="right"/>
      <protection locked="0"/>
    </xf>
    <xf numFmtId="164" fontId="3" fillId="0" borderId="0" xfId="1" applyNumberFormat="1" applyFont="1" applyBorder="1" applyProtection="1">
      <protection locked="0"/>
    </xf>
    <xf numFmtId="0" fontId="5" fillId="0" borderId="0" xfId="0" applyFont="1" applyFill="1" applyBorder="1"/>
    <xf numFmtId="0" fontId="3" fillId="7" borderId="0" xfId="0" applyFont="1" applyFill="1" applyBorder="1" applyAlignment="1">
      <alignment wrapText="1"/>
    </xf>
    <xf numFmtId="0" fontId="4" fillId="7" borderId="0" xfId="0" applyFont="1" applyFill="1" applyBorder="1" applyAlignment="1">
      <alignment wrapText="1"/>
    </xf>
    <xf numFmtId="0" fontId="5" fillId="0" borderId="0" xfId="0" applyFont="1" applyAlignment="1">
      <alignment horizontal="left"/>
    </xf>
    <xf numFmtId="0" fontId="9" fillId="0" borderId="0" xfId="0" applyFont="1"/>
    <xf numFmtId="165" fontId="0" fillId="0" borderId="0" xfId="2" applyNumberFormat="1" applyFont="1"/>
    <xf numFmtId="0" fontId="0" fillId="2" borderId="12" xfId="0" applyFont="1" applyFill="1" applyBorder="1"/>
    <xf numFmtId="0" fontId="0" fillId="2" borderId="3" xfId="0" applyFont="1" applyFill="1" applyBorder="1"/>
    <xf numFmtId="43" fontId="3" fillId="7" borderId="4" xfId="0" applyNumberFormat="1" applyFont="1" applyFill="1" applyBorder="1" applyAlignment="1">
      <alignment wrapText="1"/>
    </xf>
    <xf numFmtId="43" fontId="3" fillId="7" borderId="5" xfId="0" applyNumberFormat="1" applyFont="1" applyFill="1" applyBorder="1" applyAlignment="1">
      <alignment wrapText="1"/>
    </xf>
    <xf numFmtId="43" fontId="3" fillId="7" borderId="6" xfId="0" applyNumberFormat="1" applyFont="1" applyFill="1" applyBorder="1" applyAlignment="1">
      <alignment wrapText="1"/>
    </xf>
    <xf numFmtId="0" fontId="3" fillId="7" borderId="7" xfId="0" applyFont="1" applyFill="1" applyBorder="1" applyAlignment="1">
      <alignment wrapText="1"/>
    </xf>
    <xf numFmtId="0" fontId="3" fillId="7" borderId="8" xfId="0" applyFont="1" applyFill="1" applyBorder="1" applyAlignment="1">
      <alignment wrapText="1"/>
    </xf>
    <xf numFmtId="0" fontId="3" fillId="7" borderId="9" xfId="0" applyFont="1" applyFill="1" applyBorder="1" applyAlignment="1">
      <alignment wrapText="1"/>
    </xf>
    <xf numFmtId="0" fontId="3" fillId="7" borderId="10" xfId="0" applyFont="1" applyFill="1" applyBorder="1" applyAlignment="1">
      <alignment wrapText="1"/>
    </xf>
    <xf numFmtId="0" fontId="3" fillId="7" borderId="11" xfId="0" applyFont="1" applyFill="1" applyBorder="1" applyAlignment="1">
      <alignment wrapText="1"/>
    </xf>
    <xf numFmtId="0" fontId="4" fillId="7" borderId="7" xfId="0" applyFont="1" applyFill="1" applyBorder="1" applyAlignment="1">
      <alignment wrapText="1"/>
    </xf>
    <xf numFmtId="0" fontId="4" fillId="7" borderId="8" xfId="0" applyFont="1" applyFill="1" applyBorder="1" applyAlignment="1">
      <alignment wrapText="1"/>
    </xf>
    <xf numFmtId="164" fontId="3" fillId="3" borderId="2" xfId="1" applyNumberFormat="1" applyFont="1" applyFill="1" applyBorder="1" applyProtection="1">
      <protection locked="0"/>
    </xf>
    <xf numFmtId="0" fontId="3" fillId="3" borderId="2" xfId="0" applyFont="1" applyFill="1" applyBorder="1" applyProtection="1">
      <protection locked="0"/>
    </xf>
    <xf numFmtId="0" fontId="3" fillId="3" borderId="2" xfId="0" applyFont="1" applyFill="1" applyBorder="1" applyAlignment="1" applyProtection="1">
      <alignment horizontal="right"/>
      <protection locked="0"/>
    </xf>
    <xf numFmtId="49" fontId="3" fillId="0" borderId="0" xfId="0" applyNumberFormat="1" applyFont="1" applyProtection="1">
      <protection locked="0"/>
    </xf>
    <xf numFmtId="0" fontId="3" fillId="7" borderId="7" xfId="0" applyFont="1" applyFill="1" applyBorder="1" applyAlignment="1">
      <alignment horizontal="left" wrapText="1"/>
    </xf>
    <xf numFmtId="0" fontId="3" fillId="7" borderId="0" xfId="0" applyFont="1" applyFill="1" applyBorder="1" applyAlignment="1">
      <alignment horizontal="left" wrapText="1"/>
    </xf>
    <xf numFmtId="0" fontId="3" fillId="7" borderId="8" xfId="0" applyFont="1" applyFill="1" applyBorder="1" applyAlignment="1">
      <alignment horizontal="left" wrapText="1"/>
    </xf>
    <xf numFmtId="0" fontId="4" fillId="0" borderId="0" xfId="0" applyFont="1" applyFill="1" applyBorder="1" applyAlignment="1">
      <alignment horizontal="left" wrapText="1"/>
    </xf>
    <xf numFmtId="0" fontId="5" fillId="0" borderId="0" xfId="0" applyFont="1"/>
    <xf numFmtId="0" fontId="4" fillId="7" borderId="7" xfId="0" applyFont="1" applyFill="1" applyBorder="1" applyAlignment="1">
      <alignment horizontal="left" wrapText="1"/>
    </xf>
    <xf numFmtId="0" fontId="4" fillId="7" borderId="0" xfId="0" applyFont="1" applyFill="1" applyBorder="1" applyAlignment="1">
      <alignment horizontal="left" wrapText="1"/>
    </xf>
    <xf numFmtId="0" fontId="4" fillId="7" borderId="8" xfId="0" applyFont="1" applyFill="1" applyBorder="1" applyAlignment="1">
      <alignment horizontal="left" wrapText="1"/>
    </xf>
    <xf numFmtId="0" fontId="3" fillId="7" borderId="9" xfId="0" applyFont="1" applyFill="1" applyBorder="1" applyAlignment="1">
      <alignment horizontal="center"/>
    </xf>
    <xf numFmtId="0" fontId="3" fillId="7" borderId="10" xfId="0" applyFont="1" applyFill="1" applyBorder="1" applyAlignment="1">
      <alignment horizontal="center"/>
    </xf>
    <xf numFmtId="0" fontId="3" fillId="7" borderId="11" xfId="0" applyFont="1" applyFill="1" applyBorder="1" applyAlignment="1">
      <alignment horizontal="center"/>
    </xf>
    <xf numFmtId="0" fontId="8" fillId="5" borderId="0" xfId="0" applyFont="1" applyFill="1" applyAlignment="1">
      <alignment horizontal="center" vertical="center" wrapText="1"/>
    </xf>
    <xf numFmtId="0" fontId="5" fillId="5" borderId="0" xfId="0" applyFont="1" applyFill="1"/>
    <xf numFmtId="0" fontId="5" fillId="5" borderId="0" xfId="0" applyFont="1" applyFill="1" applyAlignment="1"/>
    <xf numFmtId="0" fontId="4" fillId="0" borderId="0" xfId="0" applyFont="1" applyAlignment="1">
      <alignment horizontal="left"/>
    </xf>
    <xf numFmtId="0" fontId="2" fillId="5" borderId="0" xfId="0" applyFont="1" applyFill="1" applyAlignment="1">
      <alignment horizontal="left" vertical="center"/>
    </xf>
    <xf numFmtId="43" fontId="3" fillId="7" borderId="7" xfId="0" applyNumberFormat="1" applyFont="1" applyFill="1" applyBorder="1" applyAlignment="1">
      <alignment horizontal="left" wrapText="1"/>
    </xf>
    <xf numFmtId="43" fontId="3" fillId="7" borderId="0" xfId="0" applyNumberFormat="1" applyFont="1" applyFill="1" applyBorder="1" applyAlignment="1">
      <alignment horizontal="left" wrapText="1"/>
    </xf>
    <xf numFmtId="43" fontId="3" fillId="7" borderId="8" xfId="0" applyNumberFormat="1" applyFont="1" applyFill="1" applyBorder="1" applyAlignment="1">
      <alignment horizontal="left" wrapText="1"/>
    </xf>
    <xf numFmtId="0" fontId="5" fillId="3" borderId="0" xfId="0" applyFont="1" applyFill="1" applyBorder="1" applyAlignment="1" applyProtection="1">
      <alignment horizontal="left"/>
      <protection locked="0"/>
    </xf>
    <xf numFmtId="0" fontId="3" fillId="7" borderId="7" xfId="0" applyFont="1" applyFill="1" applyBorder="1" applyAlignment="1"/>
    <xf numFmtId="0" fontId="3" fillId="7" borderId="0" xfId="0" applyFont="1" applyFill="1" applyBorder="1" applyAlignment="1"/>
    <xf numFmtId="0" fontId="3" fillId="7" borderId="8" xfId="0" applyFont="1" applyFill="1" applyBorder="1" applyAlignment="1"/>
    <xf numFmtId="0" fontId="2" fillId="6" borderId="1" xfId="0" applyFont="1" applyFill="1" applyBorder="1" applyAlignment="1"/>
    <xf numFmtId="0" fontId="5" fillId="6" borderId="1" xfId="0" applyFont="1" applyFill="1" applyBorder="1" applyAlignment="1">
      <alignment horizontal="left"/>
    </xf>
    <xf numFmtId="0" fontId="5" fillId="6" borderId="0" xfId="0" applyFont="1" applyFill="1" applyBorder="1"/>
    <xf numFmtId="0" fontId="4" fillId="0" borderId="0" xfId="0" applyFont="1" applyAlignment="1" applyProtection="1">
      <alignment horizontal="left"/>
    </xf>
    <xf numFmtId="0" fontId="4" fillId="0" borderId="0" xfId="0" applyFont="1" applyAlignment="1" applyProtection="1"/>
  </cellXfs>
  <cellStyles count="3">
    <cellStyle name="Comma" xfId="1" builtinId="3"/>
    <cellStyle name="Currency" xfId="2" builtinId="4"/>
    <cellStyle name="Normal" xfId="0" builtinId="0"/>
  </cellStyles>
  <dxfs count="24">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numFmt numFmtId="0" formatCode="General"/>
    </dxf>
    <dxf>
      <font>
        <strike val="0"/>
        <outline val="0"/>
        <shadow val="0"/>
        <u val="none"/>
        <vertAlign val="baseline"/>
        <sz val="14"/>
        <color theme="1"/>
        <name val="Calibri"/>
        <family val="2"/>
        <scheme val="minor"/>
      </font>
      <numFmt numFmtId="0" formatCode="General"/>
    </dxf>
    <dxf>
      <font>
        <strike val="0"/>
        <outline val="0"/>
        <shadow val="0"/>
        <u val="none"/>
        <vertAlign val="baseline"/>
        <sz val="14"/>
        <color theme="1"/>
        <name val="Calibri"/>
        <family val="2"/>
        <scheme val="minor"/>
      </font>
      <alignment horizontal="right" vertical="bottom" textRotation="0" wrapText="0" indent="0" justifyLastLine="0" shrinkToFit="0" readingOrder="0"/>
      <protection locked="0" hidden="0"/>
    </dxf>
    <dxf>
      <font>
        <strike val="0"/>
        <outline val="0"/>
        <shadow val="0"/>
        <u val="none"/>
        <vertAlign val="baseline"/>
        <sz val="14"/>
        <color theme="1"/>
        <name val="Calibri"/>
        <family val="2"/>
        <scheme val="minor"/>
      </font>
      <numFmt numFmtId="0" formatCode="General"/>
      <protection locked="0" hidden="0"/>
    </dxf>
    <dxf>
      <font>
        <strike val="0"/>
        <outline val="0"/>
        <shadow val="0"/>
        <u val="none"/>
        <vertAlign val="baseline"/>
        <sz val="14"/>
        <color theme="1"/>
        <name val="Calibri"/>
        <family val="2"/>
        <scheme val="minor"/>
      </font>
      <numFmt numFmtId="0" formatCode="General"/>
      <protection locked="1" hidden="0"/>
    </dxf>
    <dxf>
      <font>
        <b val="0"/>
        <i val="0"/>
        <strike val="0"/>
        <condense val="0"/>
        <extend val="0"/>
        <outline val="0"/>
        <shadow val="0"/>
        <u val="none"/>
        <vertAlign val="baseline"/>
        <sz val="14"/>
        <color theme="1"/>
        <name val="Calibri"/>
        <family val="2"/>
        <scheme val="minor"/>
      </font>
      <protection locked="0" hidden="0"/>
    </dxf>
    <dxf>
      <font>
        <strike val="0"/>
        <outline val="0"/>
        <shadow val="0"/>
        <u val="none"/>
        <vertAlign val="baseline"/>
        <sz val="14"/>
        <color theme="1"/>
        <name val="Calibri"/>
        <family val="2"/>
        <scheme val="minor"/>
      </font>
      <protection locked="0" hidden="0"/>
    </dxf>
    <dxf>
      <font>
        <strike val="0"/>
        <outline val="0"/>
        <shadow val="0"/>
        <u val="none"/>
        <vertAlign val="baseline"/>
        <sz val="14"/>
        <color theme="1"/>
        <name val="Calibri"/>
        <family val="2"/>
        <scheme val="minor"/>
      </font>
      <protection locked="0" hidden="0"/>
    </dxf>
    <dxf>
      <font>
        <strike val="0"/>
        <outline val="0"/>
        <shadow val="0"/>
        <u val="none"/>
        <vertAlign val="baseline"/>
        <sz val="14"/>
        <color theme="1"/>
        <name val="Calibri"/>
        <family val="2"/>
        <scheme val="minor"/>
      </font>
      <protection locked="0" hidden="0"/>
    </dxf>
    <dxf>
      <font>
        <strike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dxf>
    <dxf>
      <font>
        <b val="0"/>
        <i val="0"/>
        <strike val="0"/>
        <condense val="0"/>
        <extend val="0"/>
        <outline val="0"/>
        <shadow val="0"/>
        <u val="none"/>
        <vertAlign val="baseline"/>
        <sz val="12"/>
        <color theme="1"/>
        <name val="Calibri"/>
        <family val="2"/>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left style="thin">
          <color theme="4" tint="0.39997558519241921"/>
        </left>
        <top style="thin">
          <color theme="4" tint="0.39997558519241921"/>
        </top>
        <bottom style="thin">
          <color theme="4" tint="0.39997558519241921"/>
        </bottom>
      </border>
    </dxf>
    <dxf>
      <font>
        <b val="0"/>
        <i val="0"/>
        <strike val="0"/>
        <condense val="0"/>
        <extend val="0"/>
        <outline val="0"/>
        <shadow val="0"/>
        <u val="none"/>
        <vertAlign val="baseline"/>
        <sz val="12"/>
        <color theme="1"/>
        <name val="Calibri"/>
        <family val="2"/>
        <scheme val="minor"/>
      </font>
      <fill>
        <patternFill patternType="solid">
          <fgColor theme="4" tint="0.79998168889431442"/>
          <bgColor theme="4" tint="0.79998168889431442"/>
        </patternFill>
      </fill>
    </dxf>
    <dxf>
      <border outline="0">
        <bottom style="thin">
          <color theme="4" tint="0.39997558519241921"/>
        </bottom>
      </border>
    </dxf>
    <dxf>
      <font>
        <b val="0"/>
        <i val="0"/>
        <strike val="0"/>
        <condense val="0"/>
        <extend val="0"/>
        <outline val="0"/>
        <shadow val="0"/>
        <u val="none"/>
        <vertAlign val="baseline"/>
        <sz val="12"/>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2"/>
        <color theme="1"/>
        <name val="Calibri"/>
        <family val="2"/>
        <scheme val="minor"/>
      </font>
      <numFmt numFmtId="165" formatCode="_(&quot;$&quot;* #,##0.000_);_(&quot;$&quot;* \(#,##0.000\);_(&quot;$&quot;* &quot;-&quot;??_);_(@_)"/>
    </dxf>
    <dxf>
      <font>
        <b val="0"/>
        <i val="0"/>
        <strike val="0"/>
        <condense val="0"/>
        <extend val="0"/>
        <outline val="0"/>
        <shadow val="0"/>
        <u val="none"/>
        <vertAlign val="baseline"/>
        <sz val="12"/>
        <color rgb="FF000000"/>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AF83DCB-ABEE-4446-A26E-4FAA23A9291D}" name="PriceTbl" displayName="PriceTbl" ref="A2:C18" totalsRowShown="0">
  <autoFilter ref="A2:C18" xr:uid="{35CCBE01-1A9A-9449-8B60-A1698F228C2A}"/>
  <tableColumns count="3">
    <tableColumn id="1" xr3:uid="{E2BB0A18-7283-9A45-A0EA-78F85CD6AC13}" name="Region"/>
    <tableColumn id="2" xr3:uid="{2CB58071-0887-2244-9B2B-554C2177C187}" name="Operation" dataDxfId="23"/>
    <tableColumn id="3" xr3:uid="{E86A25FA-573F-694F-A144-A62F9D3C257F}" name="Price" dataDxfId="22" dataCellStyle="Currency"/>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49188F5-C424-7B46-B837-E3831F827B48}" name="RegionTbl" displayName="RegionTbl" ref="E2:E6" totalsRowShown="0" headerRowDxfId="21" dataDxfId="19" headerRowBorderDxfId="20" tableBorderDxfId="18" totalsRowBorderDxfId="17">
  <autoFilter ref="E2:E6" xr:uid="{6D25556D-3A54-0345-AD3E-906950C1C0A0}"/>
  <tableColumns count="1">
    <tableColumn id="1" xr3:uid="{E3DB3A09-0287-C64C-BCA0-54ECA3B88605}" name="region" dataDxfId="1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D84A4-667F-AF40-AA4D-680CEC3C2E55}" name="MsgDescTable" displayName="MsgDescTable" ref="A8:I20" totalsRowShown="0" headerRowDxfId="15" dataDxfId="14">
  <autoFilter ref="A8:I20" xr:uid="{D3AA57B0-9AFF-9748-BB0F-C355946E761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71FD79BD-1750-254E-8CBC-17605B52E22B}" name="Attribute" dataDxfId="13"/>
    <tableColumn id="2" xr3:uid="{B29E8F3F-29FB-D54C-A2DB-A4B83A21E76D}" name="Data type" dataDxfId="12"/>
    <tableColumn id="3" xr3:uid="{304DFFB5-3FC8-F540-B71F-7F8BCA796599}" name="Name" dataDxfId="11"/>
    <tableColumn id="9" xr3:uid="{A0264DC1-8249-6C42-B204-764327354293}" name="Value" dataDxfId="10"/>
    <tableColumn id="8" xr3:uid="{2F827933-3504-BB40-96DE-4CD452210239}" name="NameLen" dataDxfId="9">
      <calculatedColumnFormula>LEN(MsgDescTable[[#This Row],[Name]])</calculatedColumnFormula>
    </tableColumn>
    <tableColumn id="4" xr3:uid="{33BE8C6D-0974-4040-9361-EB6D4CDCBDB1}" name="ValueLen" dataDxfId="8">
      <calculatedColumnFormula>IF( MsgDescTable[[#This Row],[Data type]]="string", LEN(MsgDescTable[[#This Row],[Value]]), 0)</calculatedColumnFormula>
    </tableColumn>
    <tableColumn id="5" xr3:uid="{4478488C-BFAF-7A47-8BC7-C1DAC26B05AD}" name="IsCommon" dataDxfId="7"/>
    <tableColumn id="6" xr3:uid="{E9356382-1455-5A4D-B89A-5F4DCB27A897}" name="WriteBytes" dataDxfId="6">
      <calculatedColumnFormula>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calculatedColumnFormula>
    </tableColumn>
    <tableColumn id="7" xr3:uid="{86E2B6C3-F0F4-6948-A220-355E6E34BF09}" name="RecordStorageBytes" dataDxfId="5">
      <calculatedColumnFormula>IF(AND(MsgDescTable[[#This Row],[Attribute]]="measure", NOT(ISBLANK(MsgDescTable[[#This Row],[Name]]))), SUMIFS(MsgDescTable[WriteBytes], MsgDescTable[Attribute], "=dimension")+MsgDescTable[[#This Row],[WriteBytes]]+8, "")</calculatedColumnFormula>
    </tableColumn>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E5567F-EC06-CD40-989A-305B8F38B30D}" name="MsgSizeTable" displayName="MsgSizeTable" ref="K8:M12" totalsRowShown="0" headerRowDxfId="4" dataDxfId="3">
  <autoFilter ref="K8:M12" xr:uid="{2756FB82-9E74-F740-9E54-24A45CC6E5AC}">
    <filterColumn colId="0" hiddenButton="1"/>
    <filterColumn colId="1" hiddenButton="1"/>
    <filterColumn colId="2" hiddenButton="1"/>
  </autoFilter>
  <tableColumns count="3">
    <tableColumn id="1" xr3:uid="{18855690-C509-834B-ADD8-EC89768F36EB}" name="Type" dataDxfId="2"/>
    <tableColumn id="2" xr3:uid="{3B1CFDBF-A111-1949-A732-CF08FC15500D}" name="Value" dataDxfId="1"/>
    <tableColumn id="3" xr3:uid="{BEFED816-33CE-9946-9561-20390A6A264D}" name="Unit" dataDxfId="0"/>
  </tableColumns>
  <tableStyleInfo name="TableStyleLight1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8F090A4-F568-504E-9D39-311043AF46D2}" name="ConversionTable1" displayName="ConversionTable1" ref="A2:B8" totalsRowShown="0">
  <autoFilter ref="A2:B8" xr:uid="{7FC197A8-CA5F-6C42-89B9-C50CF9522057}"/>
  <tableColumns count="2">
    <tableColumn id="1" xr3:uid="{CB587810-DDF3-B349-86D7-9109BF83254C}" name="Unit"/>
    <tableColumn id="2" xr3:uid="{AB4B54CA-FDF4-3D4A-8428-589544B4FD09}" name="Conversion factor"/>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9DD0A8A-5D80-3A4A-A59D-387C37320B5F}" name="ConversionTable2" displayName="ConversionTable2" ref="D2:E9" totalsRowShown="0">
  <autoFilter ref="D2:E9" xr:uid="{F81839AD-1949-0347-9ABD-8AF36C84B1DE}"/>
  <tableColumns count="2">
    <tableColumn id="1" xr3:uid="{C041DAD6-026D-9A47-B195-9BB42F02A7C9}" name="Unit"/>
    <tableColumn id="2" xr3:uid="{1C95672A-809F-9E48-926D-421FA9EDB0B3}" name="Conversion factor"/>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920A8-08F8-0D4D-BB4F-9889C888E165}">
  <dimension ref="A2:R44"/>
  <sheetViews>
    <sheetView showGridLines="0" tabSelected="1" topLeftCell="A8" zoomScale="90" zoomScaleNormal="90" workbookViewId="0">
      <selection activeCell="B26" sqref="B26"/>
    </sheetView>
  </sheetViews>
  <sheetFormatPr baseColWidth="10" defaultRowHeight="19" x14ac:dyDescent="0.25"/>
  <cols>
    <col min="1" max="1" width="26.6640625" style="5" bestFit="1" customWidth="1"/>
    <col min="2" max="2" width="14" style="5" bestFit="1" customWidth="1"/>
    <col min="3" max="3" width="2.1640625" style="5" customWidth="1"/>
    <col min="4" max="4" width="11.33203125" style="5" bestFit="1" customWidth="1"/>
    <col min="5" max="5" width="5" style="5" customWidth="1"/>
    <col min="6" max="6" width="30.83203125" style="5" bestFit="1" customWidth="1"/>
    <col min="7" max="7" width="17.6640625" style="5" bestFit="1" customWidth="1"/>
    <col min="8" max="8" width="1.6640625" style="5" customWidth="1"/>
    <col min="9" max="9" width="11.5" style="5" bestFit="1" customWidth="1"/>
    <col min="10" max="10" width="10.83203125" style="5"/>
    <col min="11" max="11" width="23.83203125" style="5" bestFit="1" customWidth="1"/>
    <col min="12" max="12" width="14.6640625" style="5" bestFit="1" customWidth="1"/>
    <col min="13" max="13" width="11.5" style="5" bestFit="1" customWidth="1"/>
    <col min="14" max="14" width="16.33203125" style="5" bestFit="1" customWidth="1"/>
    <col min="15" max="15" width="10.83203125" style="5"/>
    <col min="16" max="16" width="20.1640625" style="5" bestFit="1" customWidth="1"/>
    <col min="17" max="17" width="13" style="5" bestFit="1" customWidth="1"/>
    <col min="18" max="16384" width="10.83203125" style="5"/>
  </cols>
  <sheetData>
    <row r="2" spans="1:18" ht="33" customHeight="1" x14ac:dyDescent="0.25">
      <c r="A2" s="62" t="s">
        <v>103</v>
      </c>
      <c r="B2" s="62"/>
      <c r="C2" s="62"/>
      <c r="D2" s="62"/>
      <c r="E2" s="62"/>
      <c r="F2" s="62"/>
      <c r="G2" s="62"/>
      <c r="H2" s="62"/>
      <c r="I2" s="62"/>
      <c r="J2" s="62"/>
      <c r="K2" s="62"/>
      <c r="L2" s="62"/>
      <c r="M2" s="62"/>
      <c r="N2" s="62"/>
    </row>
    <row r="4" spans="1:18" x14ac:dyDescent="0.25">
      <c r="A4" s="61" t="s">
        <v>86</v>
      </c>
      <c r="B4" s="61"/>
      <c r="C4" s="61"/>
      <c r="D4" s="61"/>
      <c r="E4" s="61"/>
      <c r="F4" s="61"/>
      <c r="G4" s="61"/>
      <c r="H4" s="61"/>
      <c r="I4" s="61"/>
      <c r="J4" s="61"/>
      <c r="K4" s="61"/>
      <c r="L4" s="61"/>
      <c r="M4" s="61"/>
      <c r="N4" s="18"/>
      <c r="O4" s="18"/>
      <c r="P4" s="18"/>
      <c r="Q4" s="18"/>
      <c r="R4" s="18"/>
    </row>
    <row r="6" spans="1:18" x14ac:dyDescent="0.25">
      <c r="A6" s="59" t="s">
        <v>40</v>
      </c>
      <c r="B6" s="59"/>
      <c r="C6" s="59"/>
      <c r="D6" s="59"/>
      <c r="E6" s="59"/>
      <c r="F6" s="59"/>
      <c r="G6" s="59"/>
      <c r="H6" s="59"/>
      <c r="I6" s="59"/>
      <c r="K6" s="60" t="s">
        <v>107</v>
      </c>
      <c r="L6" s="60"/>
      <c r="M6" s="66" t="s">
        <v>102</v>
      </c>
      <c r="N6" s="66"/>
    </row>
    <row r="7" spans="1:18" x14ac:dyDescent="0.25">
      <c r="A7" s="5" t="s">
        <v>39</v>
      </c>
      <c r="B7" s="43">
        <v>200</v>
      </c>
      <c r="C7" s="24"/>
      <c r="D7" s="44" t="s">
        <v>59</v>
      </c>
      <c r="F7" s="15" t="s">
        <v>113</v>
      </c>
      <c r="G7" s="16">
        <f>B7*INDEX(ConversionTable1[Conversion factor], MATCH(D7, ConversionTable1[Unit], 0))</f>
        <v>17280000</v>
      </c>
      <c r="K7" s="12" t="s">
        <v>79</v>
      </c>
      <c r="L7" s="28" t="s">
        <v>80</v>
      </c>
      <c r="M7" s="28" t="s">
        <v>30</v>
      </c>
      <c r="N7" s="28" t="s">
        <v>81</v>
      </c>
    </row>
    <row r="8" spans="1:18" x14ac:dyDescent="0.25">
      <c r="B8" s="13"/>
      <c r="C8" s="13"/>
      <c r="D8" s="13"/>
      <c r="K8" s="5" t="s">
        <v>54</v>
      </c>
      <c r="L8" s="14">
        <f>G11/1000000*30</f>
        <v>62.207999999999998</v>
      </c>
      <c r="M8" s="5" t="s">
        <v>83</v>
      </c>
      <c r="N8" s="20">
        <f>L8*INDEX(PriceTbl[Price], MATCH(1,INDEX((PriceTbl[Region]=CostCalculator!M6)*(PriceTbl[Operation]=CostCalculator!K8),,1),0))</f>
        <v>35.172403199999998</v>
      </c>
    </row>
    <row r="9" spans="1:18" x14ac:dyDescent="0.25">
      <c r="A9" s="5" t="s">
        <v>116</v>
      </c>
      <c r="B9" s="44">
        <v>100</v>
      </c>
      <c r="C9" s="13"/>
      <c r="D9" s="15" t="s">
        <v>112</v>
      </c>
      <c r="F9" s="15" t="s">
        <v>114</v>
      </c>
      <c r="G9" s="16">
        <f xml:space="preserve"> ROUNDUP(G7/B9,0)</f>
        <v>172800</v>
      </c>
      <c r="K9" s="5" t="s">
        <v>55</v>
      </c>
      <c r="L9" s="14">
        <f>B17*30*24</f>
        <v>2253.6993026733398</v>
      </c>
      <c r="M9" s="5" t="s">
        <v>84</v>
      </c>
      <c r="N9" s="20">
        <f>L9*INDEX(PriceTbl[Price], MATCH(1,INDEX((PriceTbl[Region]=CostCalculator!M6)*(PriceTbl[Operation]=CostCalculator!K9),,1),0))</f>
        <v>91.725561618804932</v>
      </c>
    </row>
    <row r="10" spans="1:18" x14ac:dyDescent="0.25">
      <c r="K10" s="5" t="s">
        <v>56</v>
      </c>
      <c r="L10" s="14">
        <f>G17</f>
        <v>2253.6993026733398</v>
      </c>
      <c r="M10" s="5" t="s">
        <v>82</v>
      </c>
      <c r="N10" s="20">
        <f>L10*INDEX(PriceTbl[Price], MATCH(1,INDEX((PriceTbl[Region]=CostCalculator!M6)*(PriceTbl[Operation]=CostCalculator!K10),,1),0))</f>
        <v>76.400406360626221</v>
      </c>
      <c r="P10" s="14"/>
    </row>
    <row r="11" spans="1:18" x14ac:dyDescent="0.25">
      <c r="A11" s="5" t="s">
        <v>77</v>
      </c>
      <c r="B11" s="45" t="s">
        <v>7</v>
      </c>
      <c r="C11" s="23"/>
      <c r="F11" s="15" t="s">
        <v>115</v>
      </c>
      <c r="G11" s="16">
        <f>G9*IF(B11="yes",ROUNDUP((B9*TimeseriesEvent!L10 + TimeseriesEvent!L11)/1024, 0), ROUNDUP(B9*TimeseriesEvent!L9/1024,0))</f>
        <v>2073600</v>
      </c>
      <c r="H11" s="16"/>
      <c r="K11" s="5" t="s">
        <v>72</v>
      </c>
      <c r="L11" s="14">
        <f>(B39+B31+G31)*30</f>
        <v>23798.189163208008</v>
      </c>
      <c r="M11" s="5" t="s">
        <v>78</v>
      </c>
      <c r="N11" s="20">
        <f>L11*INDEX(PriceTbl[Price], MATCH(1,INDEX((PriceTbl[Region]=CostCalculator!M6)*(PriceTbl[Operation]=CostCalculator!K11),,1),0))</f>
        <v>270.82339267730714</v>
      </c>
      <c r="P11" s="14"/>
    </row>
    <row r="12" spans="1:18" x14ac:dyDescent="0.25">
      <c r="K12" s="21" t="s">
        <v>85</v>
      </c>
      <c r="L12" s="21"/>
      <c r="M12" s="21"/>
      <c r="N12" s="22">
        <f>SUM(N8:N11)</f>
        <v>474.12176385673831</v>
      </c>
    </row>
    <row r="13" spans="1:18" x14ac:dyDescent="0.25">
      <c r="A13" s="59" t="s">
        <v>50</v>
      </c>
      <c r="B13" s="59"/>
      <c r="C13" s="59"/>
      <c r="D13" s="59"/>
      <c r="E13" s="59"/>
      <c r="F13" s="59"/>
      <c r="G13" s="59"/>
      <c r="H13" s="59"/>
      <c r="I13" s="59"/>
    </row>
    <row r="14" spans="1:18" ht="20" thickBot="1" x14ac:dyDescent="0.3">
      <c r="A14" s="51" t="s">
        <v>47</v>
      </c>
      <c r="B14" s="51"/>
      <c r="C14" s="51"/>
      <c r="D14" s="51"/>
      <c r="F14" s="51" t="s">
        <v>48</v>
      </c>
      <c r="G14" s="51"/>
      <c r="H14" s="51"/>
      <c r="I14" s="51"/>
    </row>
    <row r="15" spans="1:18" ht="19" customHeight="1" x14ac:dyDescent="0.25">
      <c r="K15" s="33"/>
      <c r="L15" s="34"/>
      <c r="M15" s="34"/>
      <c r="N15" s="35"/>
    </row>
    <row r="16" spans="1:18" ht="19" customHeight="1" x14ac:dyDescent="0.25">
      <c r="A16" s="5" t="s">
        <v>46</v>
      </c>
      <c r="B16" s="43">
        <v>6</v>
      </c>
      <c r="C16" s="24"/>
      <c r="D16" s="44" t="s">
        <v>67</v>
      </c>
      <c r="F16" s="5" t="s">
        <v>46</v>
      </c>
      <c r="G16" s="43">
        <v>6</v>
      </c>
      <c r="H16" s="24"/>
      <c r="I16" s="44" t="s">
        <v>69</v>
      </c>
      <c r="K16" s="63" t="s">
        <v>93</v>
      </c>
      <c r="L16" s="64"/>
      <c r="M16" s="64"/>
      <c r="N16" s="65"/>
    </row>
    <row r="17" spans="1:14" x14ac:dyDescent="0.25">
      <c r="A17" s="15" t="s">
        <v>110</v>
      </c>
      <c r="B17" s="17">
        <f>(B16/INDEX(ConversionTable2[Conversion factor], MATCH(D16, ConversionTable2[Unit],0)))*(TimeseriesEvent!L12*G7)/1024^3</f>
        <v>3.1301379203796387</v>
      </c>
      <c r="C17" s="17"/>
      <c r="D17" s="15" t="s">
        <v>84</v>
      </c>
      <c r="F17" s="15" t="s">
        <v>110</v>
      </c>
      <c r="G17" s="17">
        <f>(G16/INDEX(ConversionTable2[Conversion factor], MATCH(I16, ConversionTable2[Unit],0)))*(TimeseriesEvent!L12*G7)/1024^3</f>
        <v>2253.6993026733398</v>
      </c>
      <c r="H17" s="17"/>
      <c r="I17" s="15" t="s">
        <v>82</v>
      </c>
      <c r="K17" s="63"/>
      <c r="L17" s="64"/>
      <c r="M17" s="64"/>
      <c r="N17" s="65"/>
    </row>
    <row r="18" spans="1:14" x14ac:dyDescent="0.25">
      <c r="K18" s="36"/>
      <c r="L18" s="26"/>
      <c r="M18" s="26"/>
      <c r="N18" s="37"/>
    </row>
    <row r="19" spans="1:14" ht="19" customHeight="1" x14ac:dyDescent="0.25">
      <c r="A19" s="59" t="s">
        <v>49</v>
      </c>
      <c r="B19" s="59"/>
      <c r="C19" s="59"/>
      <c r="D19" s="59"/>
      <c r="E19" s="59"/>
      <c r="F19" s="59"/>
      <c r="G19" s="59"/>
      <c r="H19" s="59"/>
      <c r="I19" s="59"/>
      <c r="K19" s="47" t="s">
        <v>92</v>
      </c>
      <c r="L19" s="48"/>
      <c r="M19" s="48"/>
      <c r="N19" s="49"/>
    </row>
    <row r="20" spans="1:14" x14ac:dyDescent="0.25">
      <c r="A20" s="50" t="s">
        <v>87</v>
      </c>
      <c r="B20" s="50"/>
      <c r="C20" s="50"/>
      <c r="D20" s="50"/>
      <c r="E20" s="50"/>
      <c r="F20" s="50"/>
      <c r="G20" s="50"/>
      <c r="H20" s="50"/>
      <c r="I20" s="50"/>
      <c r="K20" s="47"/>
      <c r="L20" s="48"/>
      <c r="M20" s="48"/>
      <c r="N20" s="49"/>
    </row>
    <row r="21" spans="1:14" ht="19" customHeight="1" x14ac:dyDescent="0.25">
      <c r="A21" s="50"/>
      <c r="B21" s="50"/>
      <c r="C21" s="50"/>
      <c r="D21" s="50"/>
      <c r="E21" s="50"/>
      <c r="F21" s="50"/>
      <c r="G21" s="50"/>
      <c r="H21" s="50"/>
      <c r="I21" s="50"/>
      <c r="K21" s="47"/>
      <c r="L21" s="48"/>
      <c r="M21" s="48"/>
      <c r="N21" s="49"/>
    </row>
    <row r="22" spans="1:14" ht="18" customHeight="1" x14ac:dyDescent="0.25">
      <c r="A22" s="50"/>
      <c r="B22" s="50"/>
      <c r="C22" s="50"/>
      <c r="D22" s="50"/>
      <c r="E22" s="50"/>
      <c r="F22" s="50"/>
      <c r="G22" s="50"/>
      <c r="H22" s="50"/>
      <c r="I22" s="50"/>
      <c r="K22" s="36"/>
      <c r="L22" s="26"/>
      <c r="M22" s="26"/>
      <c r="N22" s="37"/>
    </row>
    <row r="23" spans="1:14" ht="21" customHeight="1" x14ac:dyDescent="0.25">
      <c r="A23" s="50"/>
      <c r="B23" s="50"/>
      <c r="C23" s="50"/>
      <c r="D23" s="50"/>
      <c r="E23" s="50"/>
      <c r="F23" s="50"/>
      <c r="G23" s="50"/>
      <c r="H23" s="50"/>
      <c r="I23" s="50"/>
      <c r="K23" s="47" t="s">
        <v>90</v>
      </c>
      <c r="L23" s="48"/>
      <c r="M23" s="48"/>
      <c r="N23" s="49"/>
    </row>
    <row r="24" spans="1:14" ht="16" customHeight="1" x14ac:dyDescent="0.25">
      <c r="A24" s="25"/>
      <c r="B24" s="25"/>
      <c r="C24" s="25"/>
      <c r="D24" s="25"/>
      <c r="E24" s="25"/>
      <c r="F24" s="25"/>
      <c r="G24" s="25"/>
      <c r="H24" s="25"/>
      <c r="I24" s="25"/>
      <c r="K24" s="47"/>
      <c r="L24" s="48"/>
      <c r="M24" s="48"/>
      <c r="N24" s="49"/>
    </row>
    <row r="25" spans="1:14" ht="24" customHeight="1" x14ac:dyDescent="0.25">
      <c r="A25" s="51" t="s">
        <v>51</v>
      </c>
      <c r="B25" s="51"/>
      <c r="C25" s="12"/>
      <c r="F25" s="51" t="s">
        <v>52</v>
      </c>
      <c r="G25" s="51"/>
      <c r="H25" s="51"/>
      <c r="I25" s="51"/>
      <c r="K25" s="36"/>
      <c r="L25" s="26"/>
      <c r="M25" s="26"/>
      <c r="N25" s="37"/>
    </row>
    <row r="26" spans="1:14" ht="19" customHeight="1" x14ac:dyDescent="0.25">
      <c r="A26" s="5" t="s">
        <v>57</v>
      </c>
      <c r="B26" s="43">
        <v>50</v>
      </c>
      <c r="D26" s="44" t="s">
        <v>60</v>
      </c>
      <c r="F26" s="5" t="s">
        <v>57</v>
      </c>
      <c r="G26" s="43">
        <v>5</v>
      </c>
      <c r="I26" s="44" t="s">
        <v>60</v>
      </c>
      <c r="K26" s="47" t="s">
        <v>94</v>
      </c>
      <c r="L26" s="48"/>
      <c r="M26" s="48"/>
      <c r="N26" s="49"/>
    </row>
    <row r="27" spans="1:14" ht="19" customHeight="1" x14ac:dyDescent="0.25">
      <c r="A27" s="12"/>
      <c r="B27" s="12"/>
      <c r="C27" s="12"/>
      <c r="F27" s="12"/>
      <c r="G27" s="12"/>
      <c r="H27" s="12"/>
      <c r="I27" s="12"/>
      <c r="K27" s="47"/>
      <c r="L27" s="48"/>
      <c r="M27" s="48"/>
      <c r="N27" s="49"/>
    </row>
    <row r="28" spans="1:14" ht="20" customHeight="1" x14ac:dyDescent="0.25">
      <c r="A28" s="5" t="s">
        <v>73</v>
      </c>
      <c r="B28" s="43">
        <v>15</v>
      </c>
      <c r="D28" s="44" t="s">
        <v>66</v>
      </c>
      <c r="F28" s="5" t="s">
        <v>73</v>
      </c>
      <c r="G28" s="43">
        <v>1</v>
      </c>
      <c r="I28" s="44" t="s">
        <v>67</v>
      </c>
      <c r="K28" s="47"/>
      <c r="L28" s="48"/>
      <c r="M28" s="48"/>
      <c r="N28" s="49"/>
    </row>
    <row r="29" spans="1:14" ht="19" customHeight="1" x14ac:dyDescent="0.25">
      <c r="A29" s="15" t="s">
        <v>74</v>
      </c>
      <c r="B29" s="19">
        <v>0.01</v>
      </c>
      <c r="C29" s="19"/>
      <c r="F29" s="15" t="s">
        <v>74</v>
      </c>
      <c r="G29" s="19">
        <v>0.02</v>
      </c>
      <c r="H29" s="19"/>
      <c r="K29" s="36"/>
      <c r="L29" s="26"/>
      <c r="M29" s="26"/>
      <c r="N29" s="37"/>
    </row>
    <row r="30" spans="1:14" ht="19" customHeight="1" x14ac:dyDescent="0.25">
      <c r="A30" s="15" t="s">
        <v>75</v>
      </c>
      <c r="B30" s="15">
        <f>MAX(10/1024, B29*(B28/INDEX(ConversionTable2[Conversion factor], MATCH(D28, ConversionTable2[Unit],0)))*(TimeseriesEvent!L12*G7)/1024^3)</f>
        <v>9.765625E-3</v>
      </c>
      <c r="C30" s="15"/>
      <c r="D30" s="15" t="s">
        <v>78</v>
      </c>
      <c r="F30" s="15" t="s">
        <v>75</v>
      </c>
      <c r="G30" s="15">
        <f>MAX(10/1024, G29*(G28/INDEX(ConversionTable2[Conversion factor], MATCH(I28, ConversionTable2[Unit],0)))*(TimeseriesEvent!L12*G7)/1024^3)</f>
        <v>1.0433793067932129E-2</v>
      </c>
      <c r="H30" s="15"/>
      <c r="I30" s="15" t="s">
        <v>78</v>
      </c>
      <c r="K30" s="47" t="s">
        <v>95</v>
      </c>
      <c r="L30" s="48"/>
      <c r="M30" s="48"/>
      <c r="N30" s="49"/>
    </row>
    <row r="31" spans="1:14" ht="19" customHeight="1" x14ac:dyDescent="0.25">
      <c r="A31" s="15" t="s">
        <v>76</v>
      </c>
      <c r="B31" s="16">
        <f>B30*B26*INDEX(ConversionTable1[Conversion factor], MATCH(D26, ConversionTable1[Unit], 0))</f>
        <v>703.125</v>
      </c>
      <c r="C31" s="16"/>
      <c r="D31" s="15" t="s">
        <v>78</v>
      </c>
      <c r="F31" s="15" t="s">
        <v>76</v>
      </c>
      <c r="G31" s="16">
        <f>G30*G26*INDEX(ConversionTable1[Conversion factor], MATCH(I26, ConversionTable1[Unit], 0))</f>
        <v>75.123310089111328</v>
      </c>
      <c r="H31" s="16"/>
      <c r="I31" s="15" t="s">
        <v>78</v>
      </c>
      <c r="K31" s="47"/>
      <c r="L31" s="48"/>
      <c r="M31" s="48"/>
      <c r="N31" s="49"/>
    </row>
    <row r="32" spans="1:14" ht="19" customHeight="1" x14ac:dyDescent="0.25">
      <c r="K32" s="36"/>
      <c r="L32" s="26"/>
      <c r="M32" s="26"/>
      <c r="N32" s="37"/>
    </row>
    <row r="33" spans="1:14" x14ac:dyDescent="0.25">
      <c r="A33" s="12" t="s">
        <v>53</v>
      </c>
      <c r="B33" s="12"/>
      <c r="C33" s="12"/>
      <c r="K33" s="47" t="s">
        <v>91</v>
      </c>
      <c r="L33" s="48"/>
      <c r="M33" s="48"/>
      <c r="N33" s="49"/>
    </row>
    <row r="34" spans="1:14" ht="19" customHeight="1" x14ac:dyDescent="0.25">
      <c r="A34" s="5" t="s">
        <v>57</v>
      </c>
      <c r="B34" s="43">
        <v>2</v>
      </c>
      <c r="D34" s="44" t="s">
        <v>61</v>
      </c>
      <c r="K34" s="47"/>
      <c r="L34" s="48"/>
      <c r="M34" s="48"/>
      <c r="N34" s="49"/>
    </row>
    <row r="35" spans="1:14" ht="19" customHeight="1" x14ac:dyDescent="0.25">
      <c r="A35" s="12"/>
      <c r="B35" s="12"/>
      <c r="C35" s="12"/>
      <c r="K35" s="41"/>
      <c r="L35" s="27"/>
      <c r="M35" s="27"/>
      <c r="N35" s="42"/>
    </row>
    <row r="36" spans="1:14" x14ac:dyDescent="0.25">
      <c r="A36" s="5" t="s">
        <v>73</v>
      </c>
      <c r="B36" s="43">
        <v>12</v>
      </c>
      <c r="D36" s="44" t="s">
        <v>67</v>
      </c>
      <c r="K36" s="52" t="s">
        <v>96</v>
      </c>
      <c r="L36" s="53"/>
      <c r="M36" s="53"/>
      <c r="N36" s="54"/>
    </row>
    <row r="37" spans="1:14" ht="19" customHeight="1" x14ac:dyDescent="0.25">
      <c r="A37" s="15" t="s">
        <v>74</v>
      </c>
      <c r="B37" s="19">
        <v>0.05</v>
      </c>
      <c r="C37" s="19"/>
      <c r="K37" s="52"/>
      <c r="L37" s="53"/>
      <c r="M37" s="53"/>
      <c r="N37" s="54"/>
    </row>
    <row r="38" spans="1:14" ht="19" customHeight="1" x14ac:dyDescent="0.25">
      <c r="A38" s="15" t="s">
        <v>75</v>
      </c>
      <c r="B38" s="15">
        <f>MAX(10/1024, B37*(B36/INDEX(ConversionTable2[Conversion factor], MATCH(D36, ConversionTable2[Unit],0)))*(TimeseriesEvent!L12*G7)/1024^3)</f>
        <v>0.31301379203796387</v>
      </c>
      <c r="C38" s="15"/>
      <c r="D38" s="15" t="s">
        <v>78</v>
      </c>
      <c r="K38" s="52"/>
      <c r="L38" s="53"/>
      <c r="M38" s="53"/>
      <c r="N38" s="54"/>
    </row>
    <row r="39" spans="1:14" x14ac:dyDescent="0.25">
      <c r="A39" s="15" t="s">
        <v>76</v>
      </c>
      <c r="B39" s="15">
        <f>B38*B34*INDEX(ConversionTable1[Conversion factor], MATCH(D34, ConversionTable1[Unit], 0))</f>
        <v>15.024662017822266</v>
      </c>
      <c r="C39" s="15"/>
      <c r="D39" s="15" t="s">
        <v>78</v>
      </c>
      <c r="K39" s="52"/>
      <c r="L39" s="53"/>
      <c r="M39" s="53"/>
      <c r="N39" s="54"/>
    </row>
    <row r="40" spans="1:14" ht="20" thickBot="1" x14ac:dyDescent="0.3">
      <c r="A40" s="15"/>
      <c r="B40" s="15"/>
      <c r="C40" s="15"/>
      <c r="D40" s="15"/>
      <c r="K40" s="55"/>
      <c r="L40" s="56"/>
      <c r="M40" s="56"/>
      <c r="N40" s="57"/>
    </row>
    <row r="42" spans="1:14" ht="62" customHeight="1" x14ac:dyDescent="0.25">
      <c r="A42" s="58" t="s">
        <v>89</v>
      </c>
      <c r="B42" s="58"/>
      <c r="C42" s="58"/>
      <c r="D42" s="58"/>
      <c r="E42" s="58"/>
      <c r="F42" s="58"/>
      <c r="G42" s="58"/>
      <c r="H42" s="58"/>
      <c r="I42" s="58"/>
      <c r="J42" s="58"/>
      <c r="K42" s="58"/>
      <c r="L42" s="58"/>
      <c r="M42" s="58"/>
      <c r="N42" s="58"/>
    </row>
    <row r="43" spans="1:14" ht="19" customHeight="1" x14ac:dyDescent="0.25"/>
    <row r="44" spans="1:14" ht="19" customHeight="1" x14ac:dyDescent="0.25"/>
  </sheetData>
  <sheetProtection algorithmName="SHA-512" hashValue="BKTqcsXB6urBK8rYHjsYDfwXbtcjyYUcaOW5XgKVmD6S2uIMY6Y2o8tzoIQeNE+xxPJm72N7gQQC5swnTSGo3A==" saltValue="S9cqabR8CEqxanSxgidSig==" spinCount="100000" sheet="1" objects="1" scenarios="1" selectLockedCells="1"/>
  <mergeCells count="21">
    <mergeCell ref="A19:I19"/>
    <mergeCell ref="A6:I6"/>
    <mergeCell ref="K6:L6"/>
    <mergeCell ref="A4:M4"/>
    <mergeCell ref="A2:N2"/>
    <mergeCell ref="A13:I13"/>
    <mergeCell ref="A14:D14"/>
    <mergeCell ref="F14:I14"/>
    <mergeCell ref="K19:N21"/>
    <mergeCell ref="K16:N17"/>
    <mergeCell ref="M6:N6"/>
    <mergeCell ref="K36:N39"/>
    <mergeCell ref="K40:N40"/>
    <mergeCell ref="K33:N34"/>
    <mergeCell ref="K23:N24"/>
    <mergeCell ref="A42:N42"/>
    <mergeCell ref="K26:N28"/>
    <mergeCell ref="A20:I23"/>
    <mergeCell ref="K30:N31"/>
    <mergeCell ref="A25:B25"/>
    <mergeCell ref="F25:I25"/>
  </mergeCells>
  <dataValidations count="11">
    <dataValidation type="whole" operator="greaterThan" allowBlank="1" showInputMessage="1" showErrorMessage="1" errorTitle="Invalid value" error="The number of time series events must be greater than zero." prompt="The number of time series events to be written into Amazon Timestream." sqref="B7:C8" xr:uid="{D6EF1DE0-A04A-EA48-B6F1-D45F553F0ECD}">
      <formula1>0</formula1>
    </dataValidation>
    <dataValidation type="whole" operator="greaterThan" allowBlank="1" showInputMessage="1" showErrorMessage="1" errorTitle="Invalid value" error="The time range must be positive." prompt="The time range over which the alerting query looks for anomalies. E.g. Detect anomalous activity over the past 5 minutes'-worth of data added to Amazon Timestream." sqref="B28:C28" xr:uid="{E682DD47-E9E5-5844-95B4-5D0DD4F4D35E}">
      <formula1>0</formula1>
    </dataValidation>
    <dataValidation type="decimal" operator="greaterThan" allowBlank="1" showInputMessage="1" showErrorMessage="1" prompt="Amazon Timestream's query engine aggressively prunes irrelevant data while processing a query. Queries with projections and equality predicates including timestamps, measures, and/or dimensions enable the query processing engine to prune a significant amo" sqref="H29 C29 C37" xr:uid="{DCAE0E51-54D9-384A-8B70-640911D1D1AA}">
      <formula1>0</formula1>
    </dataValidation>
    <dataValidation type="whole" operator="greaterThan" allowBlank="1" showInputMessage="1" showErrorMessage="1" errorTitle="Invalid value" error="The retention period must be a positive number." prompt="The retention period specifies how long to keep data in the memory store. The memory store processes incoming data and detects duplicates. It is optimized for fast point-in-time queries." sqref="B16:C16" xr:uid="{B0CE964C-2AA7-184C-81F5-E9156738C21B}">
      <formula1>0</formula1>
    </dataValidation>
    <dataValidation type="whole" operator="greaterThan" allowBlank="1" showInputMessage="1" showErrorMessage="1" errorTitle="Invalid value" error="The retention period must be a positive number." prompt="The retention period specifies how long to keep data in the magnetic store. The magnetic store contains data that lies outside the retention window of the memory store. The magnetic store is optimized for fast analytic queries." sqref="G16:H16" xr:uid="{D61F30EE-C264-F345-9666-F3ABB5F0B4F9}">
      <formula1>0</formula1>
    </dataValidation>
    <dataValidation type="whole" allowBlank="1" showInputMessage="1" showErrorMessage="1" errorTitle="Invalid value" error="The batch size must be greater than 0 and less than or equal to 100." prompt="The size of the batch. Valid values are between 1 and 100." sqref="B9:C10" xr:uid="{47F4FCAE-8E70-E34A-984B-90D3DD7D0A22}">
      <formula1>1</formula1>
      <formula2>100</formula2>
    </dataValidation>
    <dataValidation type="whole" operator="greaterThan" allowBlank="1" showInputMessage="1" showErrorMessage="1" errorTitle="Invalid value" error="The time range must be positive." prompt="The time range over which the dashboarding query shows the trends in the data. E.g. Show me the last 30 minutes'-worth of data added to Amazon Timestream." sqref="G28:H28" xr:uid="{C6B169F8-72DA-2A47-9FBB-4A5335403C32}">
      <formula1>0</formula1>
    </dataValidation>
    <dataValidation type="list" showInputMessage="1" showErrorMessage="1" errorTitle="Invalid value" error="Valid values are yes and no." prompt="Using common attributes helps optimize the cost of data writes in Amazon Timestream." sqref="B11:C11" xr:uid="{2D507406-859A-8B43-8BA4-2698BE333F87}">
      <formula1>"yes,no"</formula1>
    </dataValidation>
    <dataValidation type="whole" operator="greaterThan" allowBlank="1" showInputMessage="1" showErrorMessage="1" errorTitle="Invalid value" error="The time range must be positive." prompt="The time range over which the analytical query processes E.g. What is the p95 count of errors for API GetMessages over the past day." sqref="B36:C36" xr:uid="{ED8D56C5-0F9F-0D4A-9E9E-4B7359468310}">
      <formula1>0</formula1>
    </dataValidation>
    <dataValidation type="whole" operator="greaterThan" allowBlank="1" showInputMessage="1" showErrorMessage="1" sqref="B26:C26 G26:H26 B34:C34" xr:uid="{67B646E2-B68F-6A46-AB25-25044141CDC5}">
      <formula1>0</formula1>
    </dataValidation>
    <dataValidation type="decimal" operator="greaterThan" allowBlank="1" showInputMessage="1" showErrorMessage="1" sqref="B29 G29 B37" xr:uid="{FC080CE8-6E1E-6647-900E-54EF36E0F09D}">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5">
        <x14:dataValidation type="list" showInputMessage="1" showErrorMessage="1" xr:uid="{8F937599-D5AA-1746-ADD7-04378C74A94C}">
          <x14:formula1>
            <xm:f>'Conversion Table'!$A$3:$A$8</xm:f>
          </x14:formula1>
          <xm:sqref>D34 D26 I26 D7:D8</xm:sqref>
        </x14:dataValidation>
        <x14:dataValidation type="list" showInputMessage="1" showErrorMessage="1" xr:uid="{B93F9BF3-8566-7E4A-ACA3-379C4C6E7B8D}">
          <x14:formula1>
            <xm:f>'Conversion Table'!$D$5:$D$9</xm:f>
          </x14:formula1>
          <xm:sqref>D16</xm:sqref>
        </x14:dataValidation>
        <x14:dataValidation type="list" showInputMessage="1" showErrorMessage="1" xr:uid="{7BD45C1B-E327-7C4E-A2FF-E8DBCE3419E8}">
          <x14:formula1>
            <xm:f>'Conversion Table'!$D$6:$D$9</xm:f>
          </x14:formula1>
          <xm:sqref>I16</xm:sqref>
        </x14:dataValidation>
        <x14:dataValidation type="list" showInputMessage="1" showErrorMessage="1" xr:uid="{C5801241-11BE-6E43-8E08-B1723A4EDBCC}">
          <x14:formula1>
            <xm:f>'Conversion Table'!$D$3:$D$9</xm:f>
          </x14:formula1>
          <xm:sqref>D28 I28 D36</xm:sqref>
        </x14:dataValidation>
        <x14:dataValidation type="list" showInputMessage="1" showErrorMessage="1" xr:uid="{55DD1A62-22FC-D04A-AB92-15D3E11E9179}">
          <x14:formula1>
            <xm:f>Cost!$E$3:$E$6</xm:f>
          </x14:formula1>
          <xm:sqref>M6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97F11-DE97-5149-B515-0A567F886924}">
  <dimension ref="A2:E18"/>
  <sheetViews>
    <sheetView workbookViewId="0">
      <selection activeCell="E2" sqref="E2"/>
    </sheetView>
  </sheetViews>
  <sheetFormatPr baseColWidth="10" defaultRowHeight="16" x14ac:dyDescent="0.2"/>
  <cols>
    <col min="1" max="2" width="18.1640625" bestFit="1" customWidth="1"/>
  </cols>
  <sheetData>
    <row r="2" spans="1:5" x14ac:dyDescent="0.2">
      <c r="A2" t="s">
        <v>97</v>
      </c>
      <c r="B2" t="s">
        <v>79</v>
      </c>
      <c r="C2" t="s">
        <v>98</v>
      </c>
      <c r="E2" s="31" t="s">
        <v>5</v>
      </c>
    </row>
    <row r="3" spans="1:5" x14ac:dyDescent="0.2">
      <c r="A3" t="s">
        <v>99</v>
      </c>
      <c r="B3" s="29" t="s">
        <v>54</v>
      </c>
      <c r="C3" s="30">
        <v>0.5</v>
      </c>
      <c r="E3" s="3" t="s">
        <v>99</v>
      </c>
    </row>
    <row r="4" spans="1:5" x14ac:dyDescent="0.2">
      <c r="A4" t="s">
        <v>99</v>
      </c>
      <c r="B4" s="29" t="s">
        <v>55</v>
      </c>
      <c r="C4" s="30">
        <v>3.5999999999999997E-2</v>
      </c>
      <c r="E4" s="1" t="s">
        <v>100</v>
      </c>
    </row>
    <row r="5" spans="1:5" x14ac:dyDescent="0.2">
      <c r="A5" t="s">
        <v>99</v>
      </c>
      <c r="B5" s="29" t="s">
        <v>56</v>
      </c>
      <c r="C5" s="30">
        <v>0.03</v>
      </c>
      <c r="E5" s="1" t="s">
        <v>101</v>
      </c>
    </row>
    <row r="6" spans="1:5" x14ac:dyDescent="0.2">
      <c r="A6" t="s">
        <v>99</v>
      </c>
      <c r="B6" s="29" t="s">
        <v>72</v>
      </c>
      <c r="C6" s="30">
        <v>0.01</v>
      </c>
      <c r="E6" s="32" t="s">
        <v>102</v>
      </c>
    </row>
    <row r="7" spans="1:5" x14ac:dyDescent="0.2">
      <c r="A7" t="s">
        <v>100</v>
      </c>
      <c r="B7" s="29" t="s">
        <v>54</v>
      </c>
      <c r="C7" s="30">
        <v>0.5</v>
      </c>
    </row>
    <row r="8" spans="1:5" x14ac:dyDescent="0.2">
      <c r="A8" t="s">
        <v>100</v>
      </c>
      <c r="B8" s="29" t="s">
        <v>55</v>
      </c>
      <c r="C8" s="30">
        <v>3.5999999999999997E-2</v>
      </c>
    </row>
    <row r="9" spans="1:5" x14ac:dyDescent="0.2">
      <c r="A9" t="s">
        <v>100</v>
      </c>
      <c r="B9" s="29" t="s">
        <v>56</v>
      </c>
      <c r="C9" s="30">
        <v>0.03</v>
      </c>
    </row>
    <row r="10" spans="1:5" x14ac:dyDescent="0.2">
      <c r="A10" t="s">
        <v>100</v>
      </c>
      <c r="B10" s="29" t="s">
        <v>72</v>
      </c>
      <c r="C10" s="30">
        <v>0.01</v>
      </c>
    </row>
    <row r="11" spans="1:5" x14ac:dyDescent="0.2">
      <c r="A11" t="s">
        <v>101</v>
      </c>
      <c r="B11" s="29" t="s">
        <v>54</v>
      </c>
      <c r="C11" s="30">
        <v>0.5</v>
      </c>
    </row>
    <row r="12" spans="1:5" x14ac:dyDescent="0.2">
      <c r="A12" t="s">
        <v>101</v>
      </c>
      <c r="B12" s="29" t="s">
        <v>55</v>
      </c>
      <c r="C12" s="30">
        <v>3.5999999999999997E-2</v>
      </c>
    </row>
    <row r="13" spans="1:5" x14ac:dyDescent="0.2">
      <c r="A13" t="s">
        <v>101</v>
      </c>
      <c r="B13" s="29" t="s">
        <v>56</v>
      </c>
      <c r="C13" s="30">
        <v>0.03</v>
      </c>
    </row>
    <row r="14" spans="1:5" x14ac:dyDescent="0.2">
      <c r="A14" t="s">
        <v>101</v>
      </c>
      <c r="B14" s="29" t="s">
        <v>72</v>
      </c>
      <c r="C14" s="30">
        <v>0.01</v>
      </c>
    </row>
    <row r="15" spans="1:5" x14ac:dyDescent="0.2">
      <c r="A15" t="s">
        <v>102</v>
      </c>
      <c r="B15" s="29" t="s">
        <v>54</v>
      </c>
      <c r="C15" s="30">
        <v>0.56540000000000001</v>
      </c>
    </row>
    <row r="16" spans="1:5" x14ac:dyDescent="0.2">
      <c r="A16" t="s">
        <v>102</v>
      </c>
      <c r="B16" s="29" t="s">
        <v>55</v>
      </c>
      <c r="C16" s="30">
        <v>4.07E-2</v>
      </c>
    </row>
    <row r="17" spans="1:3" x14ac:dyDescent="0.2">
      <c r="A17" t="s">
        <v>102</v>
      </c>
      <c r="B17" s="29" t="s">
        <v>56</v>
      </c>
      <c r="C17" s="30">
        <v>3.39E-2</v>
      </c>
    </row>
    <row r="18" spans="1:3" x14ac:dyDescent="0.2">
      <c r="A18" t="s">
        <v>102</v>
      </c>
      <c r="B18" s="29" t="s">
        <v>72</v>
      </c>
      <c r="C18" s="30">
        <v>1.1379999999999999E-2</v>
      </c>
    </row>
  </sheetData>
  <sheetProtection algorithmName="SHA-512" hashValue="cO3nKtg7L9OiI3/KUJXMKUuFkHmAJfxm6l4fDHV7lJkdYaLUIbeaZsD0e31UkvBprJgyutVJssnjLzx7+v1+mQ==" saltValue="nMDkOFNMRk77wJX+lhZDNQ==" spinCount="100000" sheet="1" objects="1" scenarios="1"/>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B1DA7-89EB-DE40-BC94-DBA6AD4EBC71}">
  <dimension ref="A1:Q27"/>
  <sheetViews>
    <sheetView showGridLines="0" workbookViewId="0">
      <selection activeCell="D15" sqref="D15"/>
    </sheetView>
  </sheetViews>
  <sheetFormatPr baseColWidth="10" defaultRowHeight="19" x14ac:dyDescent="0.25"/>
  <cols>
    <col min="1" max="1" width="10.6640625" style="2" bestFit="1" customWidth="1"/>
    <col min="2" max="2" width="10.83203125" style="2" bestFit="1" customWidth="1"/>
    <col min="3" max="3" width="19.6640625" style="2" bestFit="1" customWidth="1"/>
    <col min="4" max="4" width="14" style="4" bestFit="1" customWidth="1"/>
    <col min="5" max="5" width="10.83203125" style="2" bestFit="1" customWidth="1"/>
    <col min="6" max="6" width="11.6640625" bestFit="1" customWidth="1"/>
    <col min="7" max="8" width="12.1640625" bestFit="1" customWidth="1"/>
    <col min="9" max="9" width="21.6640625" bestFit="1" customWidth="1"/>
    <col min="10" max="10" width="8.83203125" style="5" customWidth="1"/>
    <col min="11" max="11" width="39.1640625" style="5" bestFit="1" customWidth="1"/>
    <col min="12" max="12" width="6.6640625" style="5" bestFit="1" customWidth="1"/>
    <col min="13" max="13" width="12" customWidth="1"/>
  </cols>
  <sheetData>
    <row r="1" spans="1:17" ht="21" x14ac:dyDescent="0.25">
      <c r="A1" s="70" t="s">
        <v>38</v>
      </c>
      <c r="B1" s="70"/>
      <c r="C1" s="70"/>
      <c r="D1" s="70"/>
      <c r="E1" s="70"/>
      <c r="F1" s="70"/>
      <c r="G1" s="70"/>
      <c r="H1" s="70"/>
      <c r="I1" s="70"/>
      <c r="J1" s="70"/>
      <c r="K1" s="70"/>
      <c r="L1" s="70"/>
      <c r="M1" s="70"/>
      <c r="N1" s="4"/>
      <c r="O1" s="4"/>
      <c r="P1" s="4"/>
      <c r="Q1" s="4"/>
    </row>
    <row r="2" spans="1:17" x14ac:dyDescent="0.25">
      <c r="A2" s="4"/>
      <c r="B2" s="4"/>
      <c r="C2" s="4"/>
      <c r="E2" s="4"/>
      <c r="F2" s="4"/>
      <c r="G2" s="4"/>
      <c r="H2" s="4"/>
      <c r="I2" s="4"/>
      <c r="J2" s="8"/>
      <c r="K2" s="8"/>
      <c r="L2" s="8"/>
      <c r="M2" s="4"/>
      <c r="N2" s="4"/>
      <c r="O2" s="4"/>
      <c r="P2" s="4"/>
      <c r="Q2" s="4"/>
    </row>
    <row r="3" spans="1:17" x14ac:dyDescent="0.25">
      <c r="A3" s="73" t="s">
        <v>41</v>
      </c>
      <c r="B3" s="73"/>
      <c r="C3" s="73"/>
      <c r="D3" s="73"/>
      <c r="E3" s="73"/>
      <c r="F3" s="73"/>
      <c r="G3" s="73"/>
      <c r="H3" s="73"/>
      <c r="I3" s="73"/>
      <c r="J3" s="73"/>
      <c r="K3" s="73"/>
      <c r="L3" s="73"/>
      <c r="M3" s="73"/>
      <c r="N3" s="6"/>
      <c r="O3" s="4"/>
      <c r="P3" s="4"/>
      <c r="Q3" s="4"/>
    </row>
    <row r="4" spans="1:17" x14ac:dyDescent="0.25">
      <c r="A4" s="74" t="s">
        <v>88</v>
      </c>
      <c r="B4" s="74"/>
      <c r="C4" s="74"/>
      <c r="D4" s="74"/>
      <c r="E4" s="74"/>
      <c r="F4" s="74"/>
      <c r="G4" s="74"/>
      <c r="H4" s="74"/>
      <c r="I4" s="74"/>
      <c r="J4" s="74"/>
      <c r="K4" s="74"/>
      <c r="L4" s="74"/>
      <c r="M4" s="74"/>
      <c r="N4" s="6"/>
      <c r="O4" s="4"/>
      <c r="P4" s="4"/>
      <c r="Q4" s="4"/>
    </row>
    <row r="5" spans="1:17" x14ac:dyDescent="0.25">
      <c r="A5" s="4"/>
      <c r="B5" s="4"/>
      <c r="C5" s="4"/>
      <c r="E5" s="4"/>
      <c r="F5" s="4"/>
      <c r="G5" s="4"/>
      <c r="H5" s="4"/>
      <c r="I5" s="4"/>
      <c r="J5" s="8"/>
      <c r="K5" s="8"/>
      <c r="L5" s="8"/>
      <c r="M5" s="4"/>
      <c r="N5" s="4"/>
      <c r="O5" s="4"/>
      <c r="P5" s="4"/>
      <c r="Q5" s="4"/>
    </row>
    <row r="6" spans="1:17" x14ac:dyDescent="0.25">
      <c r="A6" s="72" t="s">
        <v>36</v>
      </c>
      <c r="B6" s="72"/>
      <c r="C6" s="72"/>
      <c r="D6" s="72"/>
      <c r="E6" s="72"/>
      <c r="F6" s="72"/>
      <c r="G6" s="72"/>
      <c r="H6" s="72"/>
      <c r="I6" s="72"/>
      <c r="J6"/>
      <c r="K6" s="71" t="s">
        <v>37</v>
      </c>
      <c r="L6" s="71"/>
      <c r="M6" s="71"/>
      <c r="N6" s="4"/>
      <c r="O6" s="4"/>
      <c r="P6" s="4"/>
      <c r="Q6" s="4"/>
    </row>
    <row r="7" spans="1:17" x14ac:dyDescent="0.25">
      <c r="A7" s="4"/>
      <c r="B7" s="4"/>
      <c r="C7" s="4"/>
      <c r="E7" s="4"/>
      <c r="F7" s="4"/>
      <c r="G7" s="4"/>
      <c r="H7" s="4"/>
      <c r="I7" s="4"/>
      <c r="J7" s="8"/>
      <c r="K7" s="8"/>
      <c r="L7" s="8"/>
      <c r="M7" s="4"/>
      <c r="N7" s="4"/>
      <c r="O7" s="4"/>
      <c r="P7" s="4"/>
      <c r="Q7" s="4"/>
    </row>
    <row r="8" spans="1:17" x14ac:dyDescent="0.25">
      <c r="A8" s="7" t="s">
        <v>32</v>
      </c>
      <c r="B8" s="7" t="s">
        <v>0</v>
      </c>
      <c r="C8" s="7" t="s">
        <v>1</v>
      </c>
      <c r="D8" s="7" t="s">
        <v>2</v>
      </c>
      <c r="E8" s="8" t="s">
        <v>31</v>
      </c>
      <c r="F8" s="5" t="s">
        <v>108</v>
      </c>
      <c r="G8" s="7" t="s">
        <v>33</v>
      </c>
      <c r="H8" s="5" t="s">
        <v>34</v>
      </c>
      <c r="I8" s="5" t="s">
        <v>35</v>
      </c>
      <c r="J8"/>
      <c r="K8" s="5" t="s">
        <v>29</v>
      </c>
      <c r="L8" s="5" t="s">
        <v>2</v>
      </c>
      <c r="M8" s="5" t="s">
        <v>30</v>
      </c>
    </row>
    <row r="9" spans="1:17" x14ac:dyDescent="0.25">
      <c r="A9" s="7" t="s">
        <v>3</v>
      </c>
      <c r="B9" s="7" t="s">
        <v>4</v>
      </c>
      <c r="C9" s="7" t="s">
        <v>5</v>
      </c>
      <c r="D9" s="7" t="s">
        <v>6</v>
      </c>
      <c r="E9" s="8">
        <f>LEN(MsgDescTable[[#This Row],[Name]])</f>
        <v>6</v>
      </c>
      <c r="F9" s="7">
        <f>IF( MsgDescTable[[#This Row],[Data type]]="string", LEN(MsgDescTable[[#This Row],[Value]]), 0)</f>
        <v>9</v>
      </c>
      <c r="G9" s="9" t="s">
        <v>7</v>
      </c>
      <c r="H9"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15</v>
      </c>
      <c r="I9" s="5" t="str">
        <f>IF(AND(MsgDescTable[[#This Row],[Attribute]]="measure", NOT(ISBLANK(MsgDescTable[[#This Row],[Name]]))), SUMIFS(MsgDescTable[WriteBytes], MsgDescTable[Attribute], "=dimension")+MsgDescTable[[#This Row],[WriteBytes]]+8, "")</f>
        <v/>
      </c>
      <c r="J9"/>
      <c r="K9" s="5" t="s">
        <v>24</v>
      </c>
      <c r="L9" s="5">
        <f>SUM(MsgDescTable[WriteBytes])</f>
        <v>220</v>
      </c>
      <c r="M9" s="5" t="s">
        <v>28</v>
      </c>
    </row>
    <row r="10" spans="1:17" x14ac:dyDescent="0.25">
      <c r="A10" s="7" t="s">
        <v>3</v>
      </c>
      <c r="B10" s="7" t="s">
        <v>4</v>
      </c>
      <c r="C10" s="7" t="s">
        <v>9</v>
      </c>
      <c r="D10" s="7" t="s">
        <v>10</v>
      </c>
      <c r="E10" s="8">
        <f>LEN(MsgDescTable[[#This Row],[Name]])</f>
        <v>2</v>
      </c>
      <c r="F10" s="7">
        <f>IF( MsgDescTable[[#This Row],[Data type]]="string", LEN(MsgDescTable[[#This Row],[Value]]), 0)</f>
        <v>10</v>
      </c>
      <c r="G10" s="9" t="s">
        <v>7</v>
      </c>
      <c r="H10"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12</v>
      </c>
      <c r="I10" s="5" t="str">
        <f>IF(AND(MsgDescTable[[#This Row],[Attribute]]="measure", NOT(ISBLANK(MsgDescTable[[#This Row],[Name]]))), SUMIFS(MsgDescTable[WriteBytes], MsgDescTable[Attribute], "=dimension")+MsgDescTable[[#This Row],[WriteBytes]]+8, "")</f>
        <v/>
      </c>
      <c r="J10"/>
      <c r="K10" s="5" t="s">
        <v>25</v>
      </c>
      <c r="L10" s="5">
        <f>SUMIFS(MsgDescTable[WriteBytes], MsgDescTable[IsCommon],"=no")+ SUMIFS(MsgDescTable[ValueLen], MsgDescTable[Attribute],"=measure", MsgDescTable[IsCommon],"=yes")+8</f>
        <v>120</v>
      </c>
      <c r="M10" s="5" t="s">
        <v>28</v>
      </c>
    </row>
    <row r="11" spans="1:17" x14ac:dyDescent="0.25">
      <c r="A11" s="7" t="s">
        <v>3</v>
      </c>
      <c r="B11" s="7" t="s">
        <v>4</v>
      </c>
      <c r="C11" s="7" t="s">
        <v>11</v>
      </c>
      <c r="D11" s="7" t="s">
        <v>12</v>
      </c>
      <c r="E11" s="8">
        <f>LEN(MsgDescTable[[#This Row],[Name]])</f>
        <v>13</v>
      </c>
      <c r="F11" s="7">
        <f>IF( MsgDescTable[[#This Row],[Data type]]="string", LEN(MsgDescTable[[#This Row],[Value]]), 0)</f>
        <v>7</v>
      </c>
      <c r="G11" s="9" t="s">
        <v>7</v>
      </c>
      <c r="H11"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20</v>
      </c>
      <c r="I11" s="5" t="str">
        <f>IF(AND(MsgDescTable[[#This Row],[Attribute]]="measure", NOT(ISBLANK(MsgDescTable[[#This Row],[Name]]))), SUMIFS(MsgDescTable[WriteBytes], MsgDescTable[Attribute], "=dimension")+MsgDescTable[[#This Row],[WriteBytes]]+8, "")</f>
        <v/>
      </c>
      <c r="J11"/>
      <c r="K11" s="5" t="s">
        <v>26</v>
      </c>
      <c r="L11" s="5">
        <f>SUMIFS(MsgDescTable[WriteBytes], MsgDescTable[Attribute],"=dimension", MsgDescTable[IsCommon],"=yes")+ SUMIFS(MsgDescTable[NameLen], MsgDescTable[Attribute],"=measure", MsgDescTable[IsCommon],"=yes")+8</f>
        <v>116</v>
      </c>
      <c r="M11" s="5" t="s">
        <v>28</v>
      </c>
    </row>
    <row r="12" spans="1:17" x14ac:dyDescent="0.25">
      <c r="A12" s="7" t="s">
        <v>3</v>
      </c>
      <c r="B12" s="7" t="s">
        <v>4</v>
      </c>
      <c r="C12" s="7" t="s">
        <v>13</v>
      </c>
      <c r="D12" s="7" t="s">
        <v>14</v>
      </c>
      <c r="E12" s="8">
        <f>LEN(MsgDescTable[[#This Row],[Name]])</f>
        <v>13</v>
      </c>
      <c r="F12" s="7">
        <f>IF( MsgDescTable[[#This Row],[Data type]]="string", LEN(MsgDescTable[[#This Row],[Value]]), 0)</f>
        <v>10</v>
      </c>
      <c r="G12" s="9" t="s">
        <v>7</v>
      </c>
      <c r="H12"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23</v>
      </c>
      <c r="I12" s="5" t="str">
        <f>IF(AND(MsgDescTable[[#This Row],[Attribute]]="measure", NOT(ISBLANK(MsgDescTable[[#This Row],[Name]]))), SUMIFS(MsgDescTable[WriteBytes], MsgDescTable[Attribute], "=dimension")+MsgDescTable[[#This Row],[WriteBytes]]+8, "")</f>
        <v/>
      </c>
      <c r="J12"/>
      <c r="K12" s="5" t="s">
        <v>27</v>
      </c>
      <c r="L12" s="5">
        <f>SUM(MsgDescTable[RecordStorageBytes])</f>
        <v>778</v>
      </c>
      <c r="M12" s="5" t="s">
        <v>28</v>
      </c>
    </row>
    <row r="13" spans="1:17" ht="20" thickBot="1" x14ac:dyDescent="0.3">
      <c r="A13" s="7" t="s">
        <v>3</v>
      </c>
      <c r="B13" s="7" t="s">
        <v>4</v>
      </c>
      <c r="C13" s="7" t="s">
        <v>15</v>
      </c>
      <c r="D13" s="7">
        <v>123456</v>
      </c>
      <c r="E13" s="8">
        <f>LEN(MsgDescTable[[#This Row],[Name]])</f>
        <v>8</v>
      </c>
      <c r="F13" s="7">
        <f>IF( MsgDescTable[[#This Row],[Data type]]="string", LEN(MsgDescTable[[#This Row],[Value]]), 0)</f>
        <v>6</v>
      </c>
      <c r="G13" s="9" t="s">
        <v>7</v>
      </c>
      <c r="H13"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14</v>
      </c>
      <c r="I13" s="5" t="str">
        <f>IF(AND(MsgDescTable[[#This Row],[Attribute]]="measure", NOT(ISBLANK(MsgDescTable[[#This Row],[Name]]))), SUMIFS(MsgDescTable[WriteBytes], MsgDescTable[Attribute], "=dimension")+MsgDescTable[[#This Row],[WriteBytes]]+8, "")</f>
        <v/>
      </c>
      <c r="J13"/>
      <c r="M13" s="5"/>
    </row>
    <row r="14" spans="1:17" x14ac:dyDescent="0.25">
      <c r="A14" s="7" t="s">
        <v>3</v>
      </c>
      <c r="B14" s="7" t="s">
        <v>4</v>
      </c>
      <c r="C14" s="7" t="s">
        <v>16</v>
      </c>
      <c r="D14" s="46" t="s">
        <v>111</v>
      </c>
      <c r="E14" s="8">
        <f>LEN(MsgDescTable[[#This Row],[Name]])</f>
        <v>9</v>
      </c>
      <c r="F14" s="7">
        <f>IF( MsgDescTable[[#This Row],[Data type]]="string", LEN(MsgDescTable[[#This Row],[Value]]), 0)</f>
        <v>9</v>
      </c>
      <c r="G14" s="9" t="s">
        <v>7</v>
      </c>
      <c r="H14"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18</v>
      </c>
      <c r="I14" s="5" t="str">
        <f>IF(AND(MsgDescTable[[#This Row],[Attribute]]="measure", NOT(ISBLANK(MsgDescTable[[#This Row],[Name]]))), SUMIFS(MsgDescTable[WriteBytes], MsgDescTable[Attribute], "=dimension")+MsgDescTable[[#This Row],[WriteBytes]]+8, "")</f>
        <v/>
      </c>
      <c r="J14"/>
      <c r="K14" s="33"/>
      <c r="L14" s="34"/>
      <c r="M14" s="35"/>
    </row>
    <row r="15" spans="1:17" ht="19" customHeight="1" x14ac:dyDescent="0.25">
      <c r="A15" s="7" t="s">
        <v>8</v>
      </c>
      <c r="B15" s="7" t="s">
        <v>17</v>
      </c>
      <c r="C15" s="7" t="s">
        <v>18</v>
      </c>
      <c r="D15" s="7">
        <v>800</v>
      </c>
      <c r="E15" s="8">
        <f>LEN(MsgDescTable[[#This Row],[Name]])</f>
        <v>16</v>
      </c>
      <c r="F15" s="7">
        <f>IF( MsgDescTable[[#This Row],[Data type]]="string", LEN(MsgDescTable[[#This Row],[Value]]), 0)</f>
        <v>0</v>
      </c>
      <c r="G15" s="9" t="s">
        <v>19</v>
      </c>
      <c r="H15"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24</v>
      </c>
      <c r="I15" s="5">
        <f>IF(AND(MsgDescTable[[#This Row],[Attribute]]="measure", NOT(ISBLANK(MsgDescTable[[#This Row],[Name]]))), SUMIFS(MsgDescTable[WriteBytes], MsgDescTable[Attribute], "=dimension")+MsgDescTable[[#This Row],[WriteBytes]]+8, "")</f>
        <v>134</v>
      </c>
      <c r="J15"/>
      <c r="K15" s="63" t="s">
        <v>104</v>
      </c>
      <c r="L15" s="64"/>
      <c r="M15" s="65"/>
    </row>
    <row r="16" spans="1:17" x14ac:dyDescent="0.25">
      <c r="A16" s="7" t="s">
        <v>8</v>
      </c>
      <c r="B16" s="7" t="s">
        <v>17</v>
      </c>
      <c r="C16" s="7" t="s">
        <v>20</v>
      </c>
      <c r="D16" s="7">
        <v>1440</v>
      </c>
      <c r="E16" s="8">
        <f>LEN(MsgDescTable[[#This Row],[Name]])</f>
        <v>17</v>
      </c>
      <c r="F16" s="7">
        <f>IF( MsgDescTable[[#This Row],[Data type]]="string", LEN(MsgDescTable[[#This Row],[Value]]), 0)</f>
        <v>0</v>
      </c>
      <c r="G16" s="9" t="s">
        <v>19</v>
      </c>
      <c r="H16"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25</v>
      </c>
      <c r="I16" s="10">
        <f>IF(AND(MsgDescTable[[#This Row],[Attribute]]="measure", NOT(ISBLANK(MsgDescTable[[#This Row],[Name]]))), SUMIFS(MsgDescTable[WriteBytes], MsgDescTable[Attribute], "=dimension")+MsgDescTable[[#This Row],[WriteBytes]]+8, "")</f>
        <v>135</v>
      </c>
      <c r="J16"/>
      <c r="K16" s="63"/>
      <c r="L16" s="64"/>
      <c r="M16" s="65"/>
    </row>
    <row r="17" spans="1:13" x14ac:dyDescent="0.25">
      <c r="A17" s="7" t="s">
        <v>8</v>
      </c>
      <c r="B17" s="7" t="s">
        <v>21</v>
      </c>
      <c r="C17" s="7" t="s">
        <v>22</v>
      </c>
      <c r="D17" s="7">
        <v>23.5</v>
      </c>
      <c r="E17" s="8">
        <f>LEN(MsgDescTable[[#This Row],[Name]])</f>
        <v>12</v>
      </c>
      <c r="F17" s="7">
        <f>IF( MsgDescTable[[#This Row],[Data type]]="string", LEN(MsgDescTable[[#This Row],[Value]]), 0)</f>
        <v>0</v>
      </c>
      <c r="G17" s="9" t="s">
        <v>19</v>
      </c>
      <c r="H17"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20</v>
      </c>
      <c r="I17" s="10">
        <f>IF(AND(MsgDescTable[[#This Row],[Attribute]]="measure", NOT(ISBLANK(MsgDescTable[[#This Row],[Name]]))), SUMIFS(MsgDescTable[WriteBytes], MsgDescTable[Attribute], "=dimension")+MsgDescTable[[#This Row],[WriteBytes]]+8, "")</f>
        <v>130</v>
      </c>
      <c r="J17"/>
      <c r="K17" s="36"/>
      <c r="L17" s="26"/>
      <c r="M17" s="37"/>
    </row>
    <row r="18" spans="1:13" ht="19" customHeight="1" x14ac:dyDescent="0.25">
      <c r="A18" s="7" t="s">
        <v>8</v>
      </c>
      <c r="B18" s="7" t="s">
        <v>21</v>
      </c>
      <c r="C18" s="7" t="s">
        <v>23</v>
      </c>
      <c r="D18" s="7">
        <v>45.6</v>
      </c>
      <c r="E18" s="8">
        <f>LEN(MsgDescTable[[#This Row],[Name]])</f>
        <v>12</v>
      </c>
      <c r="F18" s="7">
        <f>IF( MsgDescTable[[#This Row],[Data type]]="string", LEN(MsgDescTable[[#This Row],[Value]]), 0)</f>
        <v>0</v>
      </c>
      <c r="G18" s="9" t="s">
        <v>19</v>
      </c>
      <c r="H18"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20</v>
      </c>
      <c r="I18" s="10">
        <f>IF(AND(MsgDescTable[[#This Row],[Attribute]]="measure", NOT(ISBLANK(MsgDescTable[[#This Row],[Name]]))), SUMIFS(MsgDescTable[WriteBytes], MsgDescTable[Attribute], "=dimension")+MsgDescTable[[#This Row],[WriteBytes]]+8, "")</f>
        <v>130</v>
      </c>
      <c r="J18"/>
      <c r="K18" s="47" t="s">
        <v>105</v>
      </c>
      <c r="L18" s="48"/>
      <c r="M18" s="49"/>
    </row>
    <row r="19" spans="1:13" x14ac:dyDescent="0.25">
      <c r="A19" s="7" t="s">
        <v>8</v>
      </c>
      <c r="B19" s="7" t="s">
        <v>4</v>
      </c>
      <c r="C19" s="7" t="s">
        <v>42</v>
      </c>
      <c r="D19" s="7" t="s">
        <v>43</v>
      </c>
      <c r="E19" s="11">
        <f>LEN(MsgDescTable[[#This Row],[Name]])</f>
        <v>6</v>
      </c>
      <c r="F19" s="7">
        <f>IF( MsgDescTable[[#This Row],[Data type]]="string", LEN(MsgDescTable[[#This Row],[Value]]), 0)</f>
        <v>7</v>
      </c>
      <c r="G19" s="9" t="s">
        <v>7</v>
      </c>
      <c r="H19"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13</v>
      </c>
      <c r="I19" s="10">
        <f>IF(AND(MsgDescTable[[#This Row],[Attribute]]="measure", NOT(ISBLANK(MsgDescTable[[#This Row],[Name]]))), SUMIFS(MsgDescTable[WriteBytes], MsgDescTable[Attribute], "=dimension")+MsgDescTable[[#This Row],[WriteBytes]]+8, "")</f>
        <v>123</v>
      </c>
      <c r="J19"/>
      <c r="K19" s="47"/>
      <c r="L19" s="48"/>
      <c r="M19" s="49"/>
    </row>
    <row r="20" spans="1:13" x14ac:dyDescent="0.25">
      <c r="A20" s="7" t="s">
        <v>8</v>
      </c>
      <c r="B20" s="7" t="s">
        <v>44</v>
      </c>
      <c r="C20" s="7" t="s">
        <v>45</v>
      </c>
      <c r="D20" s="7">
        <v>1</v>
      </c>
      <c r="E20" s="11">
        <f>LEN(MsgDescTable[[#This Row],[Name]])</f>
        <v>15</v>
      </c>
      <c r="F20" s="7">
        <f>IF( MsgDescTable[[#This Row],[Data type]]="string", LEN(MsgDescTable[[#This Row],[Value]]), 0)</f>
        <v>0</v>
      </c>
      <c r="G20" s="9" t="s">
        <v>19</v>
      </c>
      <c r="H20" s="5">
        <f>IF(AND(NOT(ISBLANK(MsgDescTable[[#This Row],[Name]])), NOT(ISBLANK(MsgDescTable[[#This Row],[Value]]))), IF(MsgDescTable[[#This Row],[Attribute]]="dimension",
IF(MsgDescTable[[#This Row],[Data type]]="string", MsgDescTable[[#This Row],[NameLen]]+MsgDescTable[[#This Row],[ValueLen]],"#ERROR"),
IF(MsgDescTable[[#This Row],[Attribute]]="measure",
IF(MsgDescTable[[#This Row],[Data type]]="string", MsgDescTable[[#This Row],[NameLen]]+MsgDescTable[[#This Row],[ValueLen]],
IF(OR(MsgDescTable[[#This Row],[Data type]]="bigint",MsgDescTable[[#This Row],[Data type]]="double"),
IF(ISNUMBER(MsgDescTable[[#This Row],[Value]]),8+MsgDescTable[[#This Row],[NameLen]],"#ERROR"),
IF(MsgDescTable[[#This Row],[Data type]]="boolean",IF(OR(MsgDescTable[[#This Row],[Value]]=1,MsgDescTable[[#This Row],[Value]]=0),1+MsgDescTable[[#This Row],[NameLen]],"#ERROR"),"#ERROR"))))),"")</f>
        <v>16</v>
      </c>
      <c r="I20" s="10">
        <f>IF(AND(MsgDescTable[[#This Row],[Attribute]]="measure", NOT(ISBLANK(MsgDescTable[[#This Row],[Name]]))), SUMIFS(MsgDescTable[WriteBytes], MsgDescTable[Attribute], "=dimension")+MsgDescTable[[#This Row],[WriteBytes]]+8, "")</f>
        <v>126</v>
      </c>
      <c r="J20"/>
      <c r="K20" s="36"/>
      <c r="L20" s="26"/>
      <c r="M20" s="37"/>
    </row>
    <row r="21" spans="1:13" ht="21" customHeight="1" x14ac:dyDescent="0.2">
      <c r="J21"/>
      <c r="K21" s="47" t="s">
        <v>106</v>
      </c>
      <c r="L21" s="48"/>
      <c r="M21" s="49"/>
    </row>
    <row r="22" spans="1:13" ht="16" customHeight="1" x14ac:dyDescent="0.25">
      <c r="K22" s="47"/>
      <c r="L22" s="48"/>
      <c r="M22" s="49"/>
    </row>
    <row r="23" spans="1:13" ht="19" customHeight="1" x14ac:dyDescent="0.25">
      <c r="K23" s="67"/>
      <c r="L23" s="68"/>
      <c r="M23" s="69"/>
    </row>
    <row r="24" spans="1:13" ht="16" customHeight="1" x14ac:dyDescent="0.25">
      <c r="K24" s="47" t="s">
        <v>109</v>
      </c>
      <c r="L24" s="48"/>
      <c r="M24" s="49"/>
    </row>
    <row r="25" spans="1:13" ht="22" customHeight="1" x14ac:dyDescent="0.25">
      <c r="K25" s="47"/>
      <c r="L25" s="48"/>
      <c r="M25" s="49"/>
    </row>
    <row r="26" spans="1:13" ht="16" customHeight="1" thickBot="1" x14ac:dyDescent="0.3">
      <c r="K26" s="38"/>
      <c r="L26" s="39"/>
      <c r="M26" s="40"/>
    </row>
    <row r="27" spans="1:13" ht="19" customHeight="1" x14ac:dyDescent="0.25"/>
  </sheetData>
  <mergeCells count="10">
    <mergeCell ref="K23:M23"/>
    <mergeCell ref="K24:M25"/>
    <mergeCell ref="A1:M1"/>
    <mergeCell ref="K6:M6"/>
    <mergeCell ref="A6:I6"/>
    <mergeCell ref="A3:M3"/>
    <mergeCell ref="A4:M4"/>
    <mergeCell ref="K21:M22"/>
    <mergeCell ref="K15:M16"/>
    <mergeCell ref="K18:M19"/>
  </mergeCells>
  <dataValidations count="7">
    <dataValidation allowBlank="1" showInputMessage="1" showErrorMessage="1" prompt="The name of the dimension or measure." sqref="E9:E18 C9:C1048576" xr:uid="{8AB1C163-64C4-B647-AEBB-E849937E8342}"/>
    <dataValidation allowBlank="1" showInputMessage="1" showErrorMessage="1" prompt="The size of the record containing the dimension and this measure name in Amazon Timestream. Each measure is stored as a separate record in Amazon Timestream." sqref="I9:I20" xr:uid="{D9AD5FCA-CBC7-B34E-BCEE-1D954399DBF5}"/>
    <dataValidation allowBlank="1" showInputMessage="1" showErrorMessage="1" prompt="The value of the dimension or measure." sqref="D21:D1048576 E19:E20" xr:uid="{7C4794AC-ABDD-114A-8E8A-5F1FB819ACD5}"/>
    <dataValidation type="list" showInputMessage="1" showErrorMessage="1" prompt="Use common attributes to optimize your cost while writing data into Amazon Timestream." sqref="F21:F1048576 G9:G20" xr:uid="{80C8488F-8B68-FD4E-876F-91F0DFFEBDEC}">
      <formula1>"yes, no"</formula1>
    </dataValidation>
    <dataValidation type="whole" operator="greaterThan" allowBlank="1" showInputMessage="1" showErrorMessage="1" prompt="The size of the dimension or measure when written to Amazon Timestream." sqref="G21:G1048576 H9:H20" xr:uid="{D966ACA4-4807-094F-AC9F-F18E468346AB}">
      <formula1>0</formula1>
    </dataValidation>
    <dataValidation type="list" showInputMessage="1" showErrorMessage="1" errorTitle="Invalid Attribute" error="Amazon Timestream supports measures and dimensions as attributes." prompt="The attribute can either be a dimension or measure. The timestamp will be added automatically while calculating the size of the input data." sqref="A9:A1048576" xr:uid="{482189FF-6052-F54A-895E-B4C46CC680C8}">
      <formula1>"measure, dimension"</formula1>
    </dataValidation>
    <dataValidation type="list" showInputMessage="1" showErrorMessage="1" errorTitle="Invalid data type" error=" Amazon Timestream currently supports string for dimensions and bigint, boolean, double, and string for measures." prompt="The data type of the dimension or measure. Amazon Timestream currently supports string for dimensions and bigint, boolean, double, and string for measures." sqref="B9:B1048576" xr:uid="{74416BEA-F4B3-3947-8234-6C9400C5A42E}">
      <formula1>"bigint, boolean, double, string"</formula1>
    </dataValidation>
  </dataValidations>
  <pageMargins left="0.7" right="0.7" top="0.75" bottom="0.75"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A1513-0D64-974E-9F1C-2AC156678881}">
  <dimension ref="A2:E9"/>
  <sheetViews>
    <sheetView workbookViewId="0">
      <selection activeCell="D17" sqref="D17"/>
    </sheetView>
  </sheetViews>
  <sheetFormatPr baseColWidth="10" defaultRowHeight="16" x14ac:dyDescent="0.2"/>
  <cols>
    <col min="1" max="1" width="10.1640625" bestFit="1" customWidth="1"/>
    <col min="2" max="2" width="17.83203125" customWidth="1"/>
    <col min="4" max="4" width="7" bestFit="1" customWidth="1"/>
    <col min="5" max="5" width="17.83203125" customWidth="1"/>
  </cols>
  <sheetData>
    <row r="2" spans="1:5" x14ac:dyDescent="0.2">
      <c r="A2" t="s">
        <v>30</v>
      </c>
      <c r="B2" t="s">
        <v>58</v>
      </c>
      <c r="D2" t="s">
        <v>30</v>
      </c>
      <c r="E2" t="s">
        <v>58</v>
      </c>
    </row>
    <row r="3" spans="1:5" x14ac:dyDescent="0.2">
      <c r="A3" t="s">
        <v>59</v>
      </c>
      <c r="B3">
        <v>86400</v>
      </c>
      <c r="D3" t="s">
        <v>65</v>
      </c>
      <c r="E3">
        <f>B3</f>
        <v>86400</v>
      </c>
    </row>
    <row r="4" spans="1:5" x14ac:dyDescent="0.2">
      <c r="A4" t="s">
        <v>60</v>
      </c>
      <c r="B4">
        <v>1440</v>
      </c>
      <c r="D4" t="s">
        <v>66</v>
      </c>
      <c r="E4">
        <f t="shared" ref="E4:E8" si="0">B4</f>
        <v>1440</v>
      </c>
    </row>
    <row r="5" spans="1:5" x14ac:dyDescent="0.2">
      <c r="A5" t="s">
        <v>61</v>
      </c>
      <c r="B5">
        <v>24</v>
      </c>
      <c r="D5" t="s">
        <v>67</v>
      </c>
      <c r="E5">
        <f t="shared" si="0"/>
        <v>24</v>
      </c>
    </row>
    <row r="6" spans="1:5" x14ac:dyDescent="0.2">
      <c r="A6" t="s">
        <v>62</v>
      </c>
      <c r="B6">
        <v>1</v>
      </c>
      <c r="D6" t="s">
        <v>68</v>
      </c>
      <c r="E6">
        <f t="shared" si="0"/>
        <v>1</v>
      </c>
    </row>
    <row r="7" spans="1:5" x14ac:dyDescent="0.2">
      <c r="A7" t="s">
        <v>63</v>
      </c>
      <c r="B7">
        <f>1/30</f>
        <v>3.3333333333333333E-2</v>
      </c>
      <c r="D7" t="s">
        <v>69</v>
      </c>
      <c r="E7">
        <f t="shared" si="0"/>
        <v>3.3333333333333333E-2</v>
      </c>
    </row>
    <row r="8" spans="1:5" x14ac:dyDescent="0.2">
      <c r="A8" t="s">
        <v>64</v>
      </c>
      <c r="B8">
        <f>1/7</f>
        <v>0.14285714285714285</v>
      </c>
      <c r="D8" t="s">
        <v>70</v>
      </c>
      <c r="E8">
        <f t="shared" si="0"/>
        <v>0.14285714285714285</v>
      </c>
    </row>
    <row r="9" spans="1:5" x14ac:dyDescent="0.2">
      <c r="D9" t="s">
        <v>71</v>
      </c>
      <c r="E9">
        <f>1/365</f>
        <v>2.7397260273972603E-3</v>
      </c>
    </row>
  </sheetData>
  <sheetProtection algorithmName="SHA-512" hashValue="VSYv1Y61/I5e33pcLV6P3wR3o9Pwm7Jc1wcfVOwu1Hy76uLdEmlfltLmESeEm/YmsifNTJpWvs5aiLC8QoNA8Q==" saltValue="iw8VYLsZ6RWDqYSEhuQvgw==" spinCount="100000" sheet="1" objects="1" scenarios="1"/>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CostCalculator</vt:lpstr>
      <vt:lpstr>Cost</vt:lpstr>
      <vt:lpstr>TimeseriesEvent</vt:lpstr>
      <vt:lpstr>Conversion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2020-11-04T17:34:26Z</dcterms:created>
  <dcterms:modified xsi:type="dcterms:W3CDTF">2020-11-12T17:44:05Z</dcterms:modified>
</cp:coreProperties>
</file>